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\Dropbox\Dayton\Board Reports\"/>
    </mc:Choice>
  </mc:AlternateContent>
  <bookViews>
    <workbookView xWindow="0" yWindow="0" windowWidth="28800" windowHeight="12900" firstSheet="3" activeTab="6"/>
  </bookViews>
  <sheets>
    <sheet name="Profit and Loss" sheetId="1" r:id="rId1"/>
    <sheet name="Profit &amp; Loss EXP" sheetId="2" r:id="rId2"/>
    <sheet name="Profit and Loss Detail" sheetId="3" r:id="rId3"/>
    <sheet name="Balance Sheet" sheetId="4" r:id="rId4"/>
    <sheet name="A P Aging Summary" sheetId="5" r:id="rId5"/>
    <sheet name="Bookstore" sheetId="6" r:id="rId6"/>
    <sheet name="Unpaid Bills" sheetId="7" r:id="rId7"/>
  </sheets>
  <calcPr calcId="171027"/>
</workbook>
</file>

<file path=xl/calcChain.xml><?xml version="1.0" encoding="utf-8"?>
<calcChain xmlns="http://schemas.openxmlformats.org/spreadsheetml/2006/main">
  <c r="N17" i="6" l="1"/>
  <c r="M17" i="6"/>
  <c r="L17" i="6"/>
  <c r="K17" i="6"/>
  <c r="J17" i="6"/>
  <c r="H17" i="6"/>
  <c r="G17" i="6"/>
  <c r="F17" i="6"/>
  <c r="E17" i="6"/>
  <c r="D17" i="6"/>
  <c r="C17" i="6"/>
  <c r="B17" i="6"/>
  <c r="M16" i="6"/>
  <c r="M18" i="6" s="1"/>
  <c r="M19" i="6" s="1"/>
  <c r="I16" i="6"/>
  <c r="I18" i="6" s="1"/>
  <c r="I19" i="6" s="1"/>
  <c r="L15" i="6"/>
  <c r="J15" i="6"/>
  <c r="F15" i="6"/>
  <c r="E15" i="6"/>
  <c r="E16" i="6" s="1"/>
  <c r="E18" i="6" s="1"/>
  <c r="E19" i="6" s="1"/>
  <c r="D15" i="6"/>
  <c r="C15" i="6"/>
  <c r="B15" i="6"/>
  <c r="M14" i="6"/>
  <c r="L14" i="6"/>
  <c r="L16" i="6" s="1"/>
  <c r="L18" i="6" s="1"/>
  <c r="L19" i="6" s="1"/>
  <c r="K14" i="6"/>
  <c r="K16" i="6" s="1"/>
  <c r="K18" i="6" s="1"/>
  <c r="K19" i="6" s="1"/>
  <c r="J14" i="6"/>
  <c r="J16" i="6" s="1"/>
  <c r="J18" i="6" s="1"/>
  <c r="J19" i="6" s="1"/>
  <c r="I14" i="6"/>
  <c r="H14" i="6"/>
  <c r="H16" i="6" s="1"/>
  <c r="H18" i="6" s="1"/>
  <c r="H19" i="6" s="1"/>
  <c r="G14" i="6"/>
  <c r="G16" i="6" s="1"/>
  <c r="G18" i="6" s="1"/>
  <c r="G19" i="6" s="1"/>
  <c r="F14" i="6"/>
  <c r="F16" i="6" s="1"/>
  <c r="F18" i="6" s="1"/>
  <c r="F19" i="6" s="1"/>
  <c r="E14" i="6"/>
  <c r="D14" i="6"/>
  <c r="D16" i="6" s="1"/>
  <c r="D18" i="6" s="1"/>
  <c r="D19" i="6" s="1"/>
  <c r="C14" i="6"/>
  <c r="C16" i="6" s="1"/>
  <c r="C18" i="6" s="1"/>
  <c r="C19" i="6" s="1"/>
  <c r="B14" i="6"/>
  <c r="N14" i="6" s="1"/>
  <c r="N13" i="6"/>
  <c r="M11" i="6"/>
  <c r="M20" i="6" s="1"/>
  <c r="L11" i="6"/>
  <c r="L20" i="6" s="1"/>
  <c r="I11" i="6"/>
  <c r="I20" i="6" s="1"/>
  <c r="H11" i="6"/>
  <c r="E11" i="6"/>
  <c r="E20" i="6" s="1"/>
  <c r="D11" i="6"/>
  <c r="D20" i="6" s="1"/>
  <c r="N10" i="6"/>
  <c r="M8" i="6"/>
  <c r="L8" i="6"/>
  <c r="K8" i="6"/>
  <c r="K11" i="6" s="1"/>
  <c r="K20" i="6" s="1"/>
  <c r="J8" i="6"/>
  <c r="J11" i="6" s="1"/>
  <c r="J20" i="6" s="1"/>
  <c r="I8" i="6"/>
  <c r="H8" i="6"/>
  <c r="G8" i="6"/>
  <c r="G11" i="6" s="1"/>
  <c r="G20" i="6" s="1"/>
  <c r="F8" i="6"/>
  <c r="F11" i="6" s="1"/>
  <c r="F20" i="6" s="1"/>
  <c r="E8" i="6"/>
  <c r="D8" i="6"/>
  <c r="C8" i="6"/>
  <c r="C11" i="6" s="1"/>
  <c r="C20" i="6" s="1"/>
  <c r="B8" i="6"/>
  <c r="N8" i="6" s="1"/>
  <c r="N7" i="6"/>
  <c r="F6" i="5"/>
  <c r="G6" i="5"/>
  <c r="B7" i="5"/>
  <c r="G7" i="5"/>
  <c r="D8" i="5"/>
  <c r="G8" i="5"/>
  <c r="B9" i="5"/>
  <c r="C9" i="5"/>
  <c r="G9" i="5" s="1"/>
  <c r="D9" i="5"/>
  <c r="D24" i="5" s="1"/>
  <c r="E9" i="5"/>
  <c r="B10" i="5"/>
  <c r="G10" i="5" s="1"/>
  <c r="B11" i="5"/>
  <c r="G11" i="5" s="1"/>
  <c r="D12" i="5"/>
  <c r="G12" i="5" s="1"/>
  <c r="B13" i="5"/>
  <c r="G13" i="5" s="1"/>
  <c r="C13" i="5"/>
  <c r="D14" i="5"/>
  <c r="G14" i="5" s="1"/>
  <c r="F14" i="5"/>
  <c r="F24" i="5" s="1"/>
  <c r="C15" i="5"/>
  <c r="F15" i="5"/>
  <c r="G15" i="5"/>
  <c r="B16" i="5"/>
  <c r="G16" i="5"/>
  <c r="B17" i="5"/>
  <c r="G17" i="5"/>
  <c r="B18" i="5"/>
  <c r="G18" i="5"/>
  <c r="F19" i="5"/>
  <c r="G19" i="5"/>
  <c r="B20" i="5"/>
  <c r="C20" i="5"/>
  <c r="D20" i="5"/>
  <c r="E20" i="5"/>
  <c r="G20" i="5" s="1"/>
  <c r="F20" i="5"/>
  <c r="F21" i="5"/>
  <c r="G21" i="5"/>
  <c r="B22" i="5"/>
  <c r="G22" i="5"/>
  <c r="D23" i="5"/>
  <c r="E23" i="5"/>
  <c r="G23" i="5" s="1"/>
  <c r="F23" i="5"/>
  <c r="C24" i="5"/>
  <c r="B9" i="4"/>
  <c r="B10" i="4"/>
  <c r="B37" i="4" s="1"/>
  <c r="B49" i="4" s="1"/>
  <c r="B53" i="4" s="1"/>
  <c r="B11" i="4"/>
  <c r="B12" i="4"/>
  <c r="B13" i="4"/>
  <c r="B14" i="4"/>
  <c r="B15" i="4"/>
  <c r="B16" i="4"/>
  <c r="B17" i="4"/>
  <c r="B18" i="4"/>
  <c r="B19" i="4"/>
  <c r="B20" i="4"/>
  <c r="B21" i="4"/>
  <c r="B36" i="4" s="1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9" i="4"/>
  <c r="B41" i="4" s="1"/>
  <c r="B40" i="4"/>
  <c r="B43" i="4"/>
  <c r="B44" i="4"/>
  <c r="B45" i="4"/>
  <c r="B46" i="4"/>
  <c r="B47" i="4"/>
  <c r="B48" i="4"/>
  <c r="B51" i="4"/>
  <c r="B52" i="4"/>
  <c r="B58" i="4"/>
  <c r="B59" i="4"/>
  <c r="B62" i="4"/>
  <c r="B65" i="4" s="1"/>
  <c r="B66" i="4" s="1"/>
  <c r="B63" i="4"/>
  <c r="B64" i="4"/>
  <c r="B68" i="4"/>
  <c r="B73" i="4" s="1"/>
  <c r="B69" i="4"/>
  <c r="B70" i="4"/>
  <c r="B71" i="4"/>
  <c r="B72" i="4"/>
  <c r="B74" i="4"/>
  <c r="B75" i="4"/>
  <c r="B77" i="4"/>
  <c r="B80" i="4" s="1"/>
  <c r="B78" i="4"/>
  <c r="B79" i="4"/>
  <c r="B81" i="4"/>
  <c r="B82" i="4"/>
  <c r="B83" i="4"/>
  <c r="B87" i="4"/>
  <c r="B88" i="4"/>
  <c r="B91" i="4"/>
  <c r="B94" i="4" s="1"/>
  <c r="B92" i="4"/>
  <c r="B93" i="4"/>
  <c r="N7" i="2"/>
  <c r="B8" i="2"/>
  <c r="C8" i="2"/>
  <c r="D8" i="2"/>
  <c r="D11" i="2" s="1"/>
  <c r="E8" i="2"/>
  <c r="F8" i="2"/>
  <c r="G8" i="2"/>
  <c r="H8" i="2"/>
  <c r="H11" i="2" s="1"/>
  <c r="H28" i="2" s="1"/>
  <c r="H29" i="2" s="1"/>
  <c r="I8" i="2"/>
  <c r="J8" i="2"/>
  <c r="K8" i="2"/>
  <c r="L8" i="2"/>
  <c r="L11" i="2" s="1"/>
  <c r="L28" i="2" s="1"/>
  <c r="L29" i="2" s="1"/>
  <c r="M8" i="2"/>
  <c r="B9" i="2"/>
  <c r="C9" i="2"/>
  <c r="N9" i="2" s="1"/>
  <c r="D9" i="2"/>
  <c r="E9" i="2"/>
  <c r="F9" i="2"/>
  <c r="F11" i="2" s="1"/>
  <c r="F28" i="2" s="1"/>
  <c r="F29" i="2" s="1"/>
  <c r="G9" i="2"/>
  <c r="H9" i="2"/>
  <c r="I9" i="2"/>
  <c r="J9" i="2"/>
  <c r="K9" i="2"/>
  <c r="L9" i="2"/>
  <c r="M9" i="2"/>
  <c r="C10" i="2"/>
  <c r="N10" i="2" s="1"/>
  <c r="D10" i="2"/>
  <c r="E10" i="2"/>
  <c r="F10" i="2"/>
  <c r="G10" i="2"/>
  <c r="H10" i="2"/>
  <c r="I10" i="2"/>
  <c r="J10" i="2"/>
  <c r="K10" i="2"/>
  <c r="L10" i="2"/>
  <c r="M10" i="2"/>
  <c r="B11" i="2"/>
  <c r="E11" i="2"/>
  <c r="I11" i="2"/>
  <c r="J11" i="2"/>
  <c r="M11" i="2"/>
  <c r="N12" i="2"/>
  <c r="B13" i="2"/>
  <c r="C13" i="2"/>
  <c r="C15" i="2" s="1"/>
  <c r="E13" i="2"/>
  <c r="E15" i="2" s="1"/>
  <c r="F13" i="2"/>
  <c r="H13" i="2"/>
  <c r="N13" i="2"/>
  <c r="J14" i="2"/>
  <c r="B15" i="2"/>
  <c r="D15" i="2"/>
  <c r="F15" i="2"/>
  <c r="G15" i="2"/>
  <c r="H15" i="2"/>
  <c r="I15" i="2"/>
  <c r="K15" i="2"/>
  <c r="L15" i="2"/>
  <c r="M15" i="2"/>
  <c r="G16" i="2"/>
  <c r="N16" i="2" s="1"/>
  <c r="B17" i="2"/>
  <c r="C17" i="2"/>
  <c r="D17" i="2"/>
  <c r="E17" i="2"/>
  <c r="F17" i="2"/>
  <c r="G17" i="2"/>
  <c r="H17" i="2"/>
  <c r="H20" i="2" s="1"/>
  <c r="I17" i="2"/>
  <c r="M17" i="2"/>
  <c r="D18" i="2"/>
  <c r="E18" i="2"/>
  <c r="N18" i="2" s="1"/>
  <c r="F18" i="2"/>
  <c r="G18" i="2"/>
  <c r="I18" i="2"/>
  <c r="K18" i="2"/>
  <c r="K20" i="2" s="1"/>
  <c r="L18" i="2"/>
  <c r="M18" i="2"/>
  <c r="J19" i="2"/>
  <c r="N19" i="2" s="1"/>
  <c r="L19" i="2"/>
  <c r="B20" i="2"/>
  <c r="C20" i="2"/>
  <c r="F20" i="2"/>
  <c r="L20" i="2"/>
  <c r="M20" i="2"/>
  <c r="N21" i="2"/>
  <c r="I22" i="2"/>
  <c r="N22" i="2"/>
  <c r="C23" i="2"/>
  <c r="E23" i="2"/>
  <c r="E26" i="2" s="1"/>
  <c r="F23" i="2"/>
  <c r="G23" i="2"/>
  <c r="H23" i="2"/>
  <c r="H26" i="2" s="1"/>
  <c r="I23" i="2"/>
  <c r="I26" i="2" s="1"/>
  <c r="J24" i="2"/>
  <c r="N24" i="2"/>
  <c r="B25" i="2"/>
  <c r="N25" i="2" s="1"/>
  <c r="D25" i="2"/>
  <c r="B26" i="2"/>
  <c r="D26" i="2"/>
  <c r="F26" i="2"/>
  <c r="G26" i="2"/>
  <c r="J26" i="2"/>
  <c r="K26" i="2"/>
  <c r="L26" i="2"/>
  <c r="M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M28" i="2"/>
  <c r="M29" i="2" s="1"/>
  <c r="M31" i="2"/>
  <c r="N31" i="2"/>
  <c r="E32" i="2"/>
  <c r="N32" i="2"/>
  <c r="B33" i="2"/>
  <c r="C33" i="2"/>
  <c r="C49" i="2" s="1"/>
  <c r="D33" i="2"/>
  <c r="E33" i="2"/>
  <c r="F33" i="2"/>
  <c r="G33" i="2"/>
  <c r="G49" i="2" s="1"/>
  <c r="H33" i="2"/>
  <c r="I33" i="2"/>
  <c r="J33" i="2"/>
  <c r="J49" i="2" s="1"/>
  <c r="K33" i="2"/>
  <c r="K49" i="2" s="1"/>
  <c r="K104" i="2" s="1"/>
  <c r="L33" i="2"/>
  <c r="B34" i="2"/>
  <c r="C34" i="2"/>
  <c r="D34" i="2"/>
  <c r="E34" i="2"/>
  <c r="F34" i="2"/>
  <c r="G34" i="2"/>
  <c r="H34" i="2"/>
  <c r="I34" i="2"/>
  <c r="J34" i="2"/>
  <c r="K34" i="2"/>
  <c r="L34" i="2"/>
  <c r="B35" i="2"/>
  <c r="C35" i="2"/>
  <c r="N35" i="2" s="1"/>
  <c r="D35" i="2"/>
  <c r="E35" i="2"/>
  <c r="F35" i="2"/>
  <c r="G35" i="2"/>
  <c r="H35" i="2"/>
  <c r="I35" i="2"/>
  <c r="J35" i="2"/>
  <c r="K35" i="2"/>
  <c r="L35" i="2"/>
  <c r="M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G37" i="2"/>
  <c r="N37" i="2"/>
  <c r="B38" i="2"/>
  <c r="C38" i="2"/>
  <c r="N38" i="2" s="1"/>
  <c r="D38" i="2"/>
  <c r="E38" i="2"/>
  <c r="F38" i="2"/>
  <c r="G38" i="2"/>
  <c r="H38" i="2"/>
  <c r="I38" i="2"/>
  <c r="J38" i="2"/>
  <c r="K38" i="2"/>
  <c r="L38" i="2"/>
  <c r="M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B40" i="2"/>
  <c r="C40" i="2"/>
  <c r="N40" i="2" s="1"/>
  <c r="D40" i="2"/>
  <c r="E40" i="2"/>
  <c r="F40" i="2"/>
  <c r="G40" i="2"/>
  <c r="H40" i="2"/>
  <c r="I40" i="2"/>
  <c r="J40" i="2"/>
  <c r="K40" i="2"/>
  <c r="L40" i="2"/>
  <c r="M40" i="2"/>
  <c r="B41" i="2"/>
  <c r="D41" i="2"/>
  <c r="E41" i="2"/>
  <c r="F41" i="2"/>
  <c r="G41" i="2"/>
  <c r="H41" i="2"/>
  <c r="I41" i="2"/>
  <c r="J41" i="2"/>
  <c r="K41" i="2"/>
  <c r="L41" i="2"/>
  <c r="M41" i="2"/>
  <c r="D42" i="2"/>
  <c r="F42" i="2"/>
  <c r="G42" i="2"/>
  <c r="N42" i="2" s="1"/>
  <c r="H42" i="2"/>
  <c r="K42" i="2"/>
  <c r="N43" i="2"/>
  <c r="C44" i="2"/>
  <c r="F44" i="2"/>
  <c r="N44" i="2"/>
  <c r="B45" i="2"/>
  <c r="B48" i="2" s="1"/>
  <c r="D45" i="2"/>
  <c r="E45" i="2"/>
  <c r="E48" i="2" s="1"/>
  <c r="F45" i="2"/>
  <c r="G45" i="2"/>
  <c r="G48" i="2" s="1"/>
  <c r="H45" i="2"/>
  <c r="I45" i="2"/>
  <c r="J45" i="2"/>
  <c r="J48" i="2" s="1"/>
  <c r="K45" i="2"/>
  <c r="L45" i="2"/>
  <c r="M45" i="2"/>
  <c r="F46" i="2"/>
  <c r="N46" i="2" s="1"/>
  <c r="B47" i="2"/>
  <c r="C47" i="2"/>
  <c r="D47" i="2"/>
  <c r="D48" i="2" s="1"/>
  <c r="F47" i="2"/>
  <c r="G47" i="2"/>
  <c r="H47" i="2"/>
  <c r="I47" i="2"/>
  <c r="J47" i="2"/>
  <c r="K47" i="2"/>
  <c r="L47" i="2"/>
  <c r="L48" i="2" s="1"/>
  <c r="M47" i="2"/>
  <c r="C48" i="2"/>
  <c r="H48" i="2"/>
  <c r="K48" i="2"/>
  <c r="N50" i="2"/>
  <c r="B51" i="2"/>
  <c r="C51" i="2"/>
  <c r="F51" i="2"/>
  <c r="N51" i="2" s="1"/>
  <c r="H51" i="2"/>
  <c r="H53" i="2" s="1"/>
  <c r="I51" i="2"/>
  <c r="J51" i="2"/>
  <c r="K51" i="2"/>
  <c r="K53" i="2" s="1"/>
  <c r="L51" i="2"/>
  <c r="L53" i="2" s="1"/>
  <c r="M51" i="2"/>
  <c r="C52" i="2"/>
  <c r="C53" i="2" s="1"/>
  <c r="E52" i="2"/>
  <c r="E53" i="2" s="1"/>
  <c r="I52" i="2"/>
  <c r="K52" i="2"/>
  <c r="B53" i="2"/>
  <c r="D53" i="2"/>
  <c r="G53" i="2"/>
  <c r="I53" i="2"/>
  <c r="J53" i="2"/>
  <c r="M53" i="2"/>
  <c r="N54" i="2"/>
  <c r="J55" i="2"/>
  <c r="L55" i="2"/>
  <c r="L57" i="2" s="1"/>
  <c r="N55" i="2"/>
  <c r="J56" i="2"/>
  <c r="N56" i="2"/>
  <c r="B57" i="2"/>
  <c r="N57" i="2" s="1"/>
  <c r="C57" i="2"/>
  <c r="D57" i="2"/>
  <c r="E57" i="2"/>
  <c r="F57" i="2"/>
  <c r="G57" i="2"/>
  <c r="H57" i="2"/>
  <c r="I57" i="2"/>
  <c r="J57" i="2"/>
  <c r="K57" i="2"/>
  <c r="M57" i="2"/>
  <c r="N58" i="2"/>
  <c r="B59" i="2"/>
  <c r="C59" i="2"/>
  <c r="D59" i="2"/>
  <c r="D68" i="2" s="1"/>
  <c r="E59" i="2"/>
  <c r="F59" i="2"/>
  <c r="G59" i="2"/>
  <c r="H59" i="2"/>
  <c r="I59" i="2"/>
  <c r="J59" i="2"/>
  <c r="K59" i="2"/>
  <c r="L59" i="2"/>
  <c r="N59" i="2"/>
  <c r="B60" i="2"/>
  <c r="C60" i="2"/>
  <c r="D60" i="2"/>
  <c r="E60" i="2"/>
  <c r="F60" i="2"/>
  <c r="G60" i="2"/>
  <c r="H60" i="2"/>
  <c r="I60" i="2"/>
  <c r="J60" i="2"/>
  <c r="K60" i="2"/>
  <c r="L60" i="2"/>
  <c r="N60" i="2"/>
  <c r="B61" i="2"/>
  <c r="C61" i="2"/>
  <c r="D61" i="2"/>
  <c r="E61" i="2"/>
  <c r="F61" i="2"/>
  <c r="G61" i="2"/>
  <c r="H61" i="2"/>
  <c r="I61" i="2"/>
  <c r="J61" i="2"/>
  <c r="K61" i="2"/>
  <c r="L61" i="2"/>
  <c r="N61" i="2"/>
  <c r="B62" i="2"/>
  <c r="C62" i="2"/>
  <c r="D62" i="2"/>
  <c r="E62" i="2"/>
  <c r="F62" i="2"/>
  <c r="G62" i="2"/>
  <c r="H62" i="2"/>
  <c r="I62" i="2"/>
  <c r="J62" i="2"/>
  <c r="K62" i="2"/>
  <c r="L62" i="2"/>
  <c r="N62" i="2"/>
  <c r="B63" i="2"/>
  <c r="C63" i="2"/>
  <c r="D63" i="2"/>
  <c r="E63" i="2"/>
  <c r="F63" i="2"/>
  <c r="G63" i="2"/>
  <c r="H63" i="2"/>
  <c r="I63" i="2"/>
  <c r="J63" i="2"/>
  <c r="K63" i="2"/>
  <c r="L63" i="2"/>
  <c r="N63" i="2"/>
  <c r="B64" i="2"/>
  <c r="C64" i="2"/>
  <c r="D64" i="2"/>
  <c r="E64" i="2"/>
  <c r="F64" i="2"/>
  <c r="G64" i="2"/>
  <c r="H64" i="2"/>
  <c r="I64" i="2"/>
  <c r="J64" i="2"/>
  <c r="K64" i="2"/>
  <c r="L64" i="2"/>
  <c r="N64" i="2"/>
  <c r="B65" i="2"/>
  <c r="G65" i="2"/>
  <c r="H65" i="2"/>
  <c r="I65" i="2"/>
  <c r="J65" i="2"/>
  <c r="K65" i="2"/>
  <c r="L65" i="2"/>
  <c r="M65" i="2"/>
  <c r="M68" i="2" s="1"/>
  <c r="G66" i="2"/>
  <c r="N66" i="2"/>
  <c r="M67" i="2"/>
  <c r="N67" i="2" s="1"/>
  <c r="B68" i="2"/>
  <c r="C68" i="2"/>
  <c r="F68" i="2"/>
  <c r="G68" i="2"/>
  <c r="H68" i="2"/>
  <c r="J68" i="2"/>
  <c r="K68" i="2"/>
  <c r="L68" i="2"/>
  <c r="N69" i="2"/>
  <c r="B70" i="2"/>
  <c r="C70" i="2"/>
  <c r="D70" i="2"/>
  <c r="E70" i="2"/>
  <c r="E75" i="2" s="1"/>
  <c r="F70" i="2"/>
  <c r="G70" i="2"/>
  <c r="H70" i="2"/>
  <c r="I70" i="2"/>
  <c r="I75" i="2" s="1"/>
  <c r="J70" i="2"/>
  <c r="K70" i="2"/>
  <c r="L70" i="2"/>
  <c r="M70" i="2"/>
  <c r="M75" i="2" s="1"/>
  <c r="B71" i="2"/>
  <c r="C71" i="2"/>
  <c r="D71" i="2"/>
  <c r="D75" i="2" s="1"/>
  <c r="E71" i="2"/>
  <c r="F71" i="2"/>
  <c r="G71" i="2"/>
  <c r="H71" i="2"/>
  <c r="H75" i="2" s="1"/>
  <c r="I71" i="2"/>
  <c r="J71" i="2"/>
  <c r="K71" i="2"/>
  <c r="L71" i="2"/>
  <c r="M71" i="2"/>
  <c r="D72" i="2"/>
  <c r="E72" i="2"/>
  <c r="F72" i="2"/>
  <c r="N72" i="2" s="1"/>
  <c r="G72" i="2"/>
  <c r="H72" i="2"/>
  <c r="J72" i="2"/>
  <c r="J75" i="2" s="1"/>
  <c r="K72" i="2"/>
  <c r="K75" i="2" s="1"/>
  <c r="L72" i="2"/>
  <c r="M72" i="2"/>
  <c r="L73" i="2"/>
  <c r="N73" i="2" s="1"/>
  <c r="B74" i="2"/>
  <c r="C74" i="2"/>
  <c r="D74" i="2"/>
  <c r="E74" i="2"/>
  <c r="F74" i="2"/>
  <c r="G74" i="2"/>
  <c r="H74" i="2"/>
  <c r="I74" i="2"/>
  <c r="J74" i="2"/>
  <c r="K74" i="2"/>
  <c r="L74" i="2"/>
  <c r="M74" i="2"/>
  <c r="B75" i="2"/>
  <c r="C75" i="2"/>
  <c r="G75" i="2"/>
  <c r="M76" i="2"/>
  <c r="B77" i="2"/>
  <c r="C77" i="2"/>
  <c r="D77" i="2"/>
  <c r="D78" i="2" s="1"/>
  <c r="E77" i="2"/>
  <c r="F77" i="2"/>
  <c r="G77" i="2"/>
  <c r="G78" i="2" s="1"/>
  <c r="H77" i="2"/>
  <c r="H78" i="2" s="1"/>
  <c r="I77" i="2"/>
  <c r="J77" i="2"/>
  <c r="K77" i="2"/>
  <c r="L77" i="2"/>
  <c r="L78" i="2" s="1"/>
  <c r="M77" i="2"/>
  <c r="B78" i="2"/>
  <c r="C78" i="2"/>
  <c r="E78" i="2"/>
  <c r="F78" i="2"/>
  <c r="I78" i="2"/>
  <c r="J78" i="2"/>
  <c r="K78" i="2"/>
  <c r="N79" i="2"/>
  <c r="E80" i="2"/>
  <c r="F80" i="2"/>
  <c r="I80" i="2"/>
  <c r="J80" i="2"/>
  <c r="L80" i="2"/>
  <c r="M80" i="2"/>
  <c r="B81" i="2"/>
  <c r="B85" i="2" s="1"/>
  <c r="D81" i="2"/>
  <c r="E81" i="2"/>
  <c r="F81" i="2"/>
  <c r="F85" i="2" s="1"/>
  <c r="G81" i="2"/>
  <c r="G85" i="2" s="1"/>
  <c r="H81" i="2"/>
  <c r="I81" i="2"/>
  <c r="J81" i="2"/>
  <c r="K81" i="2"/>
  <c r="K85" i="2" s="1"/>
  <c r="L81" i="2"/>
  <c r="M81" i="2"/>
  <c r="J82" i="2"/>
  <c r="N82" i="2" s="1"/>
  <c r="I83" i="2"/>
  <c r="J83" i="2"/>
  <c r="N83" i="2" s="1"/>
  <c r="C84" i="2"/>
  <c r="F84" i="2"/>
  <c r="J84" i="2"/>
  <c r="N84" i="2" s="1"/>
  <c r="C85" i="2"/>
  <c r="D85" i="2"/>
  <c r="E85" i="2"/>
  <c r="H85" i="2"/>
  <c r="I85" i="2"/>
  <c r="L85" i="2"/>
  <c r="M85" i="2"/>
  <c r="N86" i="2"/>
  <c r="F87" i="2"/>
  <c r="H87" i="2"/>
  <c r="H92" i="2" s="1"/>
  <c r="J87" i="2"/>
  <c r="K87" i="2"/>
  <c r="L87" i="2"/>
  <c r="L92" i="2" s="1"/>
  <c r="N87" i="2"/>
  <c r="K88" i="2"/>
  <c r="N88" i="2"/>
  <c r="C89" i="2"/>
  <c r="D89" i="2"/>
  <c r="D92" i="2" s="1"/>
  <c r="E89" i="2"/>
  <c r="F89" i="2"/>
  <c r="H89" i="2"/>
  <c r="J89" i="2"/>
  <c r="J92" i="2" s="1"/>
  <c r="M89" i="2"/>
  <c r="B90" i="2"/>
  <c r="I90" i="2"/>
  <c r="I92" i="2" s="1"/>
  <c r="M91" i="2"/>
  <c r="N91" i="2"/>
  <c r="B92" i="2"/>
  <c r="E92" i="2"/>
  <c r="F92" i="2"/>
  <c r="G92" i="2"/>
  <c r="K92" i="2"/>
  <c r="M92" i="2"/>
  <c r="N93" i="2"/>
  <c r="B94" i="2"/>
  <c r="C94" i="2"/>
  <c r="C96" i="2" s="1"/>
  <c r="D94" i="2"/>
  <c r="D96" i="2" s="1"/>
  <c r="E94" i="2"/>
  <c r="F94" i="2"/>
  <c r="G94" i="2"/>
  <c r="G96" i="2" s="1"/>
  <c r="H94" i="2"/>
  <c r="H96" i="2" s="1"/>
  <c r="I94" i="2"/>
  <c r="K94" i="2"/>
  <c r="L94" i="2"/>
  <c r="L96" i="2" s="1"/>
  <c r="M94" i="2"/>
  <c r="B95" i="2"/>
  <c r="N95" i="2"/>
  <c r="B96" i="2"/>
  <c r="N96" i="2" s="1"/>
  <c r="E96" i="2"/>
  <c r="F96" i="2"/>
  <c r="I96" i="2"/>
  <c r="J96" i="2"/>
  <c r="K96" i="2"/>
  <c r="M96" i="2"/>
  <c r="B97" i="2"/>
  <c r="N97" i="2"/>
  <c r="G98" i="2"/>
  <c r="N98" i="2"/>
  <c r="N99" i="2"/>
  <c r="M100" i="2"/>
  <c r="N100" i="2"/>
  <c r="M101" i="2"/>
  <c r="B102" i="2"/>
  <c r="C102" i="2"/>
  <c r="D102" i="2"/>
  <c r="E102" i="2"/>
  <c r="F102" i="2"/>
  <c r="G102" i="2"/>
  <c r="H102" i="2"/>
  <c r="I102" i="2"/>
  <c r="J102" i="2"/>
  <c r="K102" i="2"/>
  <c r="L102" i="2"/>
  <c r="M103" i="2"/>
  <c r="N103" i="2"/>
  <c r="N107" i="2"/>
  <c r="B108" i="2"/>
  <c r="G108" i="2"/>
  <c r="H108" i="2"/>
  <c r="I108" i="2"/>
  <c r="J108" i="2"/>
  <c r="J110" i="2" s="1"/>
  <c r="H109" i="2"/>
  <c r="N109" i="2"/>
  <c r="C110" i="2"/>
  <c r="D110" i="2"/>
  <c r="E110" i="2"/>
  <c r="F110" i="2"/>
  <c r="G110" i="2"/>
  <c r="H110" i="2"/>
  <c r="I110" i="2"/>
  <c r="K110" i="2"/>
  <c r="L110" i="2"/>
  <c r="M110" i="2"/>
  <c r="N111" i="2"/>
  <c r="B112" i="2"/>
  <c r="C112" i="2"/>
  <c r="N112" i="2" s="1"/>
  <c r="D112" i="2"/>
  <c r="D114" i="2" s="1"/>
  <c r="E112" i="2"/>
  <c r="F112" i="2"/>
  <c r="G112" i="2"/>
  <c r="G114" i="2" s="1"/>
  <c r="H112" i="2"/>
  <c r="H114" i="2" s="1"/>
  <c r="I112" i="2"/>
  <c r="J112" i="2"/>
  <c r="K112" i="2"/>
  <c r="K114" i="2" s="1"/>
  <c r="L112" i="2"/>
  <c r="L114" i="2" s="1"/>
  <c r="M112" i="2"/>
  <c r="B113" i="2"/>
  <c r="C113" i="2"/>
  <c r="D113" i="2"/>
  <c r="E113" i="2"/>
  <c r="F113" i="2"/>
  <c r="F114" i="2" s="1"/>
  <c r="J113" i="2"/>
  <c r="L113" i="2"/>
  <c r="E114" i="2"/>
  <c r="I114" i="2"/>
  <c r="J114" i="2"/>
  <c r="M114" i="2"/>
  <c r="B115" i="2"/>
  <c r="N115" i="2" s="1"/>
  <c r="C115" i="2"/>
  <c r="D115" i="2"/>
  <c r="E115" i="2"/>
  <c r="F115" i="2"/>
  <c r="G115" i="2"/>
  <c r="H115" i="2"/>
  <c r="J115" i="2"/>
  <c r="K115" i="2"/>
  <c r="L115" i="2"/>
  <c r="M115" i="2"/>
  <c r="N116" i="2"/>
  <c r="N117" i="2"/>
  <c r="B118" i="2"/>
  <c r="C118" i="2"/>
  <c r="C120" i="2" s="1"/>
  <c r="N118" i="2"/>
  <c r="B119" i="2"/>
  <c r="C119" i="2"/>
  <c r="F119" i="2"/>
  <c r="G119" i="2"/>
  <c r="G120" i="2" s="1"/>
  <c r="G127" i="2" s="1"/>
  <c r="H119" i="2"/>
  <c r="I119" i="2"/>
  <c r="J119" i="2"/>
  <c r="J120" i="2" s="1"/>
  <c r="K119" i="2"/>
  <c r="K120" i="2" s="1"/>
  <c r="K127" i="2" s="1"/>
  <c r="L119" i="2"/>
  <c r="M119" i="2"/>
  <c r="B120" i="2"/>
  <c r="N120" i="2" s="1"/>
  <c r="D120" i="2"/>
  <c r="E120" i="2"/>
  <c r="E127" i="2" s="1"/>
  <c r="F120" i="2"/>
  <c r="H120" i="2"/>
  <c r="I120" i="2"/>
  <c r="L120" i="2"/>
  <c r="M120" i="2"/>
  <c r="K121" i="2"/>
  <c r="N121" i="2"/>
  <c r="H122" i="2"/>
  <c r="N122" i="2" s="1"/>
  <c r="J122" i="2"/>
  <c r="B123" i="2"/>
  <c r="J123" i="2"/>
  <c r="N123" i="2"/>
  <c r="F124" i="2"/>
  <c r="G124" i="2"/>
  <c r="I124" i="2"/>
  <c r="I126" i="2" s="1"/>
  <c r="J124" i="2"/>
  <c r="K124" i="2"/>
  <c r="L124" i="2"/>
  <c r="M124" i="2"/>
  <c r="N124" i="2"/>
  <c r="B125" i="2"/>
  <c r="C125" i="2"/>
  <c r="J125" i="2"/>
  <c r="M125" i="2"/>
  <c r="B126" i="2"/>
  <c r="C126" i="2"/>
  <c r="D126" i="2"/>
  <c r="D127" i="2" s="1"/>
  <c r="E126" i="2"/>
  <c r="F126" i="2"/>
  <c r="G126" i="2"/>
  <c r="K126" i="2"/>
  <c r="L126" i="2"/>
  <c r="L127" i="2" s="1"/>
  <c r="C127" i="2"/>
  <c r="F127" i="2"/>
  <c r="N128" i="2"/>
  <c r="C129" i="2"/>
  <c r="D129" i="2"/>
  <c r="E129" i="2"/>
  <c r="N129" i="2" s="1"/>
  <c r="F129" i="2"/>
  <c r="G129" i="2"/>
  <c r="H129" i="2"/>
  <c r="I129" i="2"/>
  <c r="I131" i="2" s="1"/>
  <c r="J129" i="2"/>
  <c r="C130" i="2"/>
  <c r="D130" i="2"/>
  <c r="D131" i="2" s="1"/>
  <c r="E130" i="2"/>
  <c r="N130" i="2" s="1"/>
  <c r="F130" i="2"/>
  <c r="G130" i="2"/>
  <c r="H130" i="2"/>
  <c r="H131" i="2" s="1"/>
  <c r="I130" i="2"/>
  <c r="J130" i="2"/>
  <c r="L130" i="2"/>
  <c r="B131" i="2"/>
  <c r="C131" i="2"/>
  <c r="F131" i="2"/>
  <c r="G131" i="2"/>
  <c r="J131" i="2"/>
  <c r="K131" i="2"/>
  <c r="L131" i="2"/>
  <c r="M131" i="2"/>
  <c r="D132" i="2"/>
  <c r="L132" i="2"/>
  <c r="B134" i="2"/>
  <c r="N134" i="2"/>
  <c r="B135" i="2"/>
  <c r="N135" i="2" s="1"/>
  <c r="J135" i="2"/>
  <c r="M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D137" i="2"/>
  <c r="L137" i="2"/>
  <c r="H20" i="6" l="1"/>
  <c r="B16" i="6"/>
  <c r="B11" i="6"/>
  <c r="N15" i="6"/>
  <c r="E24" i="5"/>
  <c r="B24" i="5"/>
  <c r="G24" i="5" s="1"/>
  <c r="B84" i="4"/>
  <c r="B85" i="4" s="1"/>
  <c r="B89" i="4" s="1"/>
  <c r="B95" i="4" s="1"/>
  <c r="G104" i="2"/>
  <c r="N53" i="2"/>
  <c r="D28" i="2"/>
  <c r="D29" i="2" s="1"/>
  <c r="K132" i="2"/>
  <c r="K137" i="2" s="1"/>
  <c r="G132" i="2"/>
  <c r="G137" i="2" s="1"/>
  <c r="N26" i="2"/>
  <c r="N76" i="2"/>
  <c r="M78" i="2"/>
  <c r="N78" i="2" s="1"/>
  <c r="L75" i="2"/>
  <c r="N75" i="2" s="1"/>
  <c r="H126" i="2"/>
  <c r="H127" i="2" s="1"/>
  <c r="H132" i="2" s="1"/>
  <c r="H137" i="2" s="1"/>
  <c r="N113" i="2"/>
  <c r="N101" i="2"/>
  <c r="M102" i="2"/>
  <c r="N94" i="2"/>
  <c r="I68" i="2"/>
  <c r="N68" i="2" s="1"/>
  <c r="E68" i="2"/>
  <c r="F53" i="2"/>
  <c r="N52" i="2"/>
  <c r="F48" i="2"/>
  <c r="F49" i="2" s="1"/>
  <c r="F104" i="2" s="1"/>
  <c r="F105" i="2" s="1"/>
  <c r="F138" i="2" s="1"/>
  <c r="N33" i="2"/>
  <c r="B28" i="2"/>
  <c r="K11" i="2"/>
  <c r="K28" i="2" s="1"/>
  <c r="K29" i="2" s="1"/>
  <c r="K105" i="2" s="1"/>
  <c r="K138" i="2" s="1"/>
  <c r="G11" i="2"/>
  <c r="G28" i="2" s="1"/>
  <c r="G29" i="2" s="1"/>
  <c r="G105" i="2" s="1"/>
  <c r="G138" i="2" s="1"/>
  <c r="N125" i="2"/>
  <c r="B114" i="2"/>
  <c r="N108" i="2"/>
  <c r="C92" i="2"/>
  <c r="N92" i="2" s="1"/>
  <c r="N89" i="2"/>
  <c r="J85" i="2"/>
  <c r="J104" i="2" s="1"/>
  <c r="N77" i="2"/>
  <c r="N74" i="2"/>
  <c r="N65" i="2"/>
  <c r="B49" i="2"/>
  <c r="M48" i="2"/>
  <c r="M49" i="2" s="1"/>
  <c r="M104" i="2" s="1"/>
  <c r="M105" i="2" s="1"/>
  <c r="M138" i="2" s="1"/>
  <c r="I48" i="2"/>
  <c r="N34" i="2"/>
  <c r="N23" i="2"/>
  <c r="J20" i="2"/>
  <c r="J28" i="2" s="1"/>
  <c r="J29" i="2" s="1"/>
  <c r="J105" i="2" s="1"/>
  <c r="J138" i="2" s="1"/>
  <c r="D20" i="2"/>
  <c r="N17" i="2"/>
  <c r="M126" i="2"/>
  <c r="M127" i="2" s="1"/>
  <c r="M132" i="2" s="1"/>
  <c r="M137" i="2" s="1"/>
  <c r="N119" i="2"/>
  <c r="C114" i="2"/>
  <c r="C132" i="2" s="1"/>
  <c r="C137" i="2" s="1"/>
  <c r="F75" i="2"/>
  <c r="N71" i="2"/>
  <c r="N45" i="2"/>
  <c r="N41" i="2"/>
  <c r="C11" i="2"/>
  <c r="C28" i="2" s="1"/>
  <c r="C29" i="2" s="1"/>
  <c r="N8" i="2"/>
  <c r="E131" i="2"/>
  <c r="E132" i="2" s="1"/>
  <c r="E137" i="2" s="1"/>
  <c r="B127" i="2"/>
  <c r="N126" i="2"/>
  <c r="J126" i="2"/>
  <c r="J127" i="2" s="1"/>
  <c r="J132" i="2" s="1"/>
  <c r="J137" i="2" s="1"/>
  <c r="I127" i="2"/>
  <c r="I132" i="2" s="1"/>
  <c r="I137" i="2" s="1"/>
  <c r="F132" i="2"/>
  <c r="F137" i="2" s="1"/>
  <c r="B110" i="2"/>
  <c r="N102" i="2"/>
  <c r="N90" i="2"/>
  <c r="N81" i="2"/>
  <c r="N80" i="2"/>
  <c r="N70" i="2"/>
  <c r="N47" i="2"/>
  <c r="L49" i="2"/>
  <c r="H49" i="2"/>
  <c r="H104" i="2" s="1"/>
  <c r="H105" i="2" s="1"/>
  <c r="H138" i="2" s="1"/>
  <c r="D49" i="2"/>
  <c r="D104" i="2" s="1"/>
  <c r="I49" i="2"/>
  <c r="E49" i="2"/>
  <c r="E104" i="2" s="1"/>
  <c r="C26" i="2"/>
  <c r="G20" i="2"/>
  <c r="I20" i="2"/>
  <c r="I28" i="2" s="1"/>
  <c r="I29" i="2" s="1"/>
  <c r="E20" i="2"/>
  <c r="E28" i="2" s="1"/>
  <c r="E29" i="2" s="1"/>
  <c r="E105" i="2" s="1"/>
  <c r="E138" i="2" s="1"/>
  <c r="N14" i="2"/>
  <c r="J15" i="2"/>
  <c r="N15" i="2" s="1"/>
  <c r="M41" i="1"/>
  <c r="L41" i="1"/>
  <c r="K41" i="1"/>
  <c r="J41" i="1"/>
  <c r="I41" i="1"/>
  <c r="H41" i="1"/>
  <c r="G41" i="1"/>
  <c r="F41" i="1"/>
  <c r="E41" i="1"/>
  <c r="D41" i="1"/>
  <c r="C41" i="1"/>
  <c r="B41" i="1"/>
  <c r="N41" i="1" s="1"/>
  <c r="N40" i="1"/>
  <c r="M40" i="1"/>
  <c r="J40" i="1"/>
  <c r="B40" i="1"/>
  <c r="N39" i="1"/>
  <c r="B39" i="1"/>
  <c r="M37" i="1"/>
  <c r="M42" i="1" s="1"/>
  <c r="D37" i="1"/>
  <c r="D42" i="1" s="1"/>
  <c r="L36" i="1"/>
  <c r="L37" i="1" s="1"/>
  <c r="L42" i="1" s="1"/>
  <c r="J36" i="1"/>
  <c r="I36" i="1"/>
  <c r="H36" i="1"/>
  <c r="G36" i="1"/>
  <c r="F36" i="1"/>
  <c r="E36" i="1"/>
  <c r="D36" i="1"/>
  <c r="C36" i="1"/>
  <c r="N36" i="1" s="1"/>
  <c r="M35" i="1"/>
  <c r="L35" i="1"/>
  <c r="K35" i="1"/>
  <c r="J35" i="1"/>
  <c r="I35" i="1"/>
  <c r="H35" i="1"/>
  <c r="G35" i="1"/>
  <c r="F35" i="1"/>
  <c r="C35" i="1"/>
  <c r="B35" i="1"/>
  <c r="N35" i="1" s="1"/>
  <c r="M34" i="1"/>
  <c r="L34" i="1"/>
  <c r="K34" i="1"/>
  <c r="J34" i="1"/>
  <c r="H34" i="1"/>
  <c r="G34" i="1"/>
  <c r="F34" i="1"/>
  <c r="E34" i="1"/>
  <c r="E37" i="1" s="1"/>
  <c r="E42" i="1" s="1"/>
  <c r="D34" i="1"/>
  <c r="C34" i="1"/>
  <c r="B34" i="1"/>
  <c r="M33" i="1"/>
  <c r="L33" i="1"/>
  <c r="K33" i="1"/>
  <c r="K37" i="1" s="1"/>
  <c r="K42" i="1" s="1"/>
  <c r="J33" i="1"/>
  <c r="I33" i="1"/>
  <c r="H33" i="1"/>
  <c r="G33" i="1"/>
  <c r="F33" i="1"/>
  <c r="F37" i="1" s="1"/>
  <c r="F42" i="1" s="1"/>
  <c r="E33" i="1"/>
  <c r="D33" i="1"/>
  <c r="C33" i="1"/>
  <c r="C37" i="1" s="1"/>
  <c r="C42" i="1" s="1"/>
  <c r="B33" i="1"/>
  <c r="N33" i="1" s="1"/>
  <c r="J32" i="1"/>
  <c r="J37" i="1" s="1"/>
  <c r="J42" i="1" s="1"/>
  <c r="I32" i="1"/>
  <c r="I37" i="1" s="1"/>
  <c r="I42" i="1" s="1"/>
  <c r="H32" i="1"/>
  <c r="H37" i="1" s="1"/>
  <c r="H42" i="1" s="1"/>
  <c r="G32" i="1"/>
  <c r="G37" i="1" s="1"/>
  <c r="G42" i="1" s="1"/>
  <c r="B32" i="1"/>
  <c r="N32" i="1" s="1"/>
  <c r="M28" i="1"/>
  <c r="N28" i="1" s="1"/>
  <c r="M27" i="1"/>
  <c r="N27" i="1" s="1"/>
  <c r="G26" i="1"/>
  <c r="N26" i="1" s="1"/>
  <c r="B25" i="1"/>
  <c r="N25" i="1" s="1"/>
  <c r="M24" i="1"/>
  <c r="L24" i="1"/>
  <c r="K24" i="1"/>
  <c r="I24" i="1"/>
  <c r="H24" i="1"/>
  <c r="G24" i="1"/>
  <c r="F24" i="1"/>
  <c r="E24" i="1"/>
  <c r="D24" i="1"/>
  <c r="C24" i="1"/>
  <c r="B24" i="1"/>
  <c r="N24" i="1" s="1"/>
  <c r="M23" i="1"/>
  <c r="L23" i="1"/>
  <c r="K23" i="1"/>
  <c r="J23" i="1"/>
  <c r="I23" i="1"/>
  <c r="H23" i="1"/>
  <c r="F23" i="1"/>
  <c r="E23" i="1"/>
  <c r="D23" i="1"/>
  <c r="C23" i="1"/>
  <c r="B23" i="1"/>
  <c r="N23" i="1" s="1"/>
  <c r="M22" i="1"/>
  <c r="L22" i="1"/>
  <c r="K22" i="1"/>
  <c r="J22" i="1"/>
  <c r="I22" i="1"/>
  <c r="H22" i="1"/>
  <c r="G22" i="1"/>
  <c r="F22" i="1"/>
  <c r="E22" i="1"/>
  <c r="D22" i="1"/>
  <c r="C22" i="1"/>
  <c r="B22" i="1"/>
  <c r="N22" i="1" s="1"/>
  <c r="M21" i="1"/>
  <c r="L21" i="1"/>
  <c r="K21" i="1"/>
  <c r="J21" i="1"/>
  <c r="I21" i="1"/>
  <c r="H21" i="1"/>
  <c r="G21" i="1"/>
  <c r="F21" i="1"/>
  <c r="E21" i="1"/>
  <c r="D21" i="1"/>
  <c r="C21" i="1"/>
  <c r="B21" i="1"/>
  <c r="N21" i="1" s="1"/>
  <c r="M20" i="1"/>
  <c r="L20" i="1"/>
  <c r="K20" i="1"/>
  <c r="J20" i="1"/>
  <c r="I20" i="1"/>
  <c r="H20" i="1"/>
  <c r="G20" i="1"/>
  <c r="F20" i="1"/>
  <c r="E20" i="1"/>
  <c r="D20" i="1"/>
  <c r="C20" i="1"/>
  <c r="B20" i="1"/>
  <c r="N20" i="1" s="1"/>
  <c r="M19" i="1"/>
  <c r="L19" i="1"/>
  <c r="K19" i="1"/>
  <c r="J19" i="1"/>
  <c r="I19" i="1"/>
  <c r="H19" i="1"/>
  <c r="G19" i="1"/>
  <c r="G29" i="1" s="1"/>
  <c r="F19" i="1"/>
  <c r="F29" i="1" s="1"/>
  <c r="E19" i="1"/>
  <c r="D19" i="1"/>
  <c r="D29" i="1" s="1"/>
  <c r="C19" i="1"/>
  <c r="C29" i="1" s="1"/>
  <c r="B19" i="1"/>
  <c r="B29" i="1" s="1"/>
  <c r="L18" i="1"/>
  <c r="J18" i="1"/>
  <c r="N18" i="1" s="1"/>
  <c r="M17" i="1"/>
  <c r="L17" i="1"/>
  <c r="L29" i="1" s="1"/>
  <c r="K17" i="1"/>
  <c r="K29" i="1" s="1"/>
  <c r="J17" i="1"/>
  <c r="J29" i="1" s="1"/>
  <c r="I17" i="1"/>
  <c r="H17" i="1"/>
  <c r="H29" i="1" s="1"/>
  <c r="F17" i="1"/>
  <c r="E17" i="1"/>
  <c r="N17" i="1" s="1"/>
  <c r="C17" i="1"/>
  <c r="B17" i="1"/>
  <c r="M16" i="1"/>
  <c r="L16" i="1"/>
  <c r="K16" i="1"/>
  <c r="J16" i="1"/>
  <c r="I16" i="1"/>
  <c r="I29" i="1" s="1"/>
  <c r="H16" i="1"/>
  <c r="G16" i="1"/>
  <c r="F16" i="1"/>
  <c r="E16" i="1"/>
  <c r="E29" i="1" s="1"/>
  <c r="D16" i="1"/>
  <c r="C16" i="1"/>
  <c r="B16" i="1"/>
  <c r="N16" i="1" s="1"/>
  <c r="N15" i="1"/>
  <c r="M15" i="1"/>
  <c r="M29" i="1" s="1"/>
  <c r="M11" i="1"/>
  <c r="L11" i="1"/>
  <c r="K11" i="1"/>
  <c r="J11" i="1"/>
  <c r="I11" i="1"/>
  <c r="H11" i="1"/>
  <c r="G11" i="1"/>
  <c r="F11" i="1"/>
  <c r="E11" i="1"/>
  <c r="D11" i="1"/>
  <c r="C11" i="1"/>
  <c r="B11" i="1"/>
  <c r="N11" i="1" s="1"/>
  <c r="J10" i="1"/>
  <c r="I10" i="1"/>
  <c r="H10" i="1"/>
  <c r="G10" i="1"/>
  <c r="F10" i="1"/>
  <c r="E10" i="1"/>
  <c r="D10" i="1"/>
  <c r="C10" i="1"/>
  <c r="B10" i="1"/>
  <c r="N10" i="1" s="1"/>
  <c r="M9" i="1"/>
  <c r="L9" i="1"/>
  <c r="K9" i="1"/>
  <c r="J9" i="1"/>
  <c r="I9" i="1"/>
  <c r="H9" i="1"/>
  <c r="G9" i="1"/>
  <c r="F9" i="1"/>
  <c r="E9" i="1"/>
  <c r="D9" i="1"/>
  <c r="C9" i="1"/>
  <c r="B9" i="1"/>
  <c r="N9" i="1" s="1"/>
  <c r="J8" i="1"/>
  <c r="H8" i="1"/>
  <c r="F8" i="1"/>
  <c r="E8" i="1"/>
  <c r="N8" i="1" s="1"/>
  <c r="C8" i="1"/>
  <c r="B8" i="1"/>
  <c r="M7" i="1"/>
  <c r="M12" i="1" s="1"/>
  <c r="M13" i="1" s="1"/>
  <c r="M30" i="1" s="1"/>
  <c r="M43" i="1" s="1"/>
  <c r="L7" i="1"/>
  <c r="L12" i="1" s="1"/>
  <c r="L13" i="1" s="1"/>
  <c r="K7" i="1"/>
  <c r="K12" i="1" s="1"/>
  <c r="K13" i="1" s="1"/>
  <c r="J7" i="1"/>
  <c r="J12" i="1" s="1"/>
  <c r="J13" i="1" s="1"/>
  <c r="I7" i="1"/>
  <c r="I12" i="1" s="1"/>
  <c r="I13" i="1" s="1"/>
  <c r="H7" i="1"/>
  <c r="H12" i="1" s="1"/>
  <c r="H13" i="1" s="1"/>
  <c r="G7" i="1"/>
  <c r="G12" i="1" s="1"/>
  <c r="G13" i="1" s="1"/>
  <c r="F7" i="1"/>
  <c r="F12" i="1" s="1"/>
  <c r="F13" i="1" s="1"/>
  <c r="F30" i="1" s="1"/>
  <c r="F43" i="1" s="1"/>
  <c r="E7" i="1"/>
  <c r="E12" i="1" s="1"/>
  <c r="E13" i="1" s="1"/>
  <c r="D7" i="1"/>
  <c r="D12" i="1" s="1"/>
  <c r="D13" i="1" s="1"/>
  <c r="D30" i="1" s="1"/>
  <c r="D43" i="1" s="1"/>
  <c r="C7" i="1"/>
  <c r="C12" i="1" s="1"/>
  <c r="C13" i="1" s="1"/>
  <c r="B7" i="1"/>
  <c r="N7" i="1" s="1"/>
  <c r="B18" i="6" l="1"/>
  <c r="N16" i="6"/>
  <c r="N11" i="6"/>
  <c r="B132" i="2"/>
  <c r="N110" i="2"/>
  <c r="C104" i="2"/>
  <c r="C105" i="2" s="1"/>
  <c r="C138" i="2" s="1"/>
  <c r="L104" i="2"/>
  <c r="L105" i="2" s="1"/>
  <c r="L138" i="2" s="1"/>
  <c r="B104" i="2"/>
  <c r="N49" i="2"/>
  <c r="D105" i="2"/>
  <c r="D138" i="2" s="1"/>
  <c r="N20" i="2"/>
  <c r="N85" i="2"/>
  <c r="N114" i="2"/>
  <c r="N28" i="2"/>
  <c r="B29" i="2"/>
  <c r="N11" i="2"/>
  <c r="I104" i="2"/>
  <c r="I105" i="2" s="1"/>
  <c r="I138" i="2" s="1"/>
  <c r="N127" i="2"/>
  <c r="N48" i="2"/>
  <c r="N131" i="2"/>
  <c r="K30" i="1"/>
  <c r="K43" i="1" s="1"/>
  <c r="H30" i="1"/>
  <c r="H43" i="1" s="1"/>
  <c r="L30" i="1"/>
  <c r="L43" i="1" s="1"/>
  <c r="E30" i="1"/>
  <c r="E43" i="1" s="1"/>
  <c r="I30" i="1"/>
  <c r="I43" i="1"/>
  <c r="J30" i="1"/>
  <c r="J43" i="1" s="1"/>
  <c r="C30" i="1"/>
  <c r="C43" i="1" s="1"/>
  <c r="G30" i="1"/>
  <c r="G43" i="1" s="1"/>
  <c r="N29" i="1"/>
  <c r="N19" i="1"/>
  <c r="B12" i="1"/>
  <c r="N34" i="1"/>
  <c r="B37" i="1"/>
  <c r="B19" i="6" l="1"/>
  <c r="N18" i="6"/>
  <c r="N104" i="2"/>
  <c r="N29" i="2"/>
  <c r="B105" i="2"/>
  <c r="N132" i="2"/>
  <c r="B137" i="2"/>
  <c r="N137" i="2" s="1"/>
  <c r="B13" i="1"/>
  <c r="N12" i="1"/>
  <c r="B42" i="1"/>
  <c r="N42" i="1" s="1"/>
  <c r="N37" i="1"/>
  <c r="N19" i="6" l="1"/>
  <c r="B20" i="6"/>
  <c r="N20" i="6" s="1"/>
  <c r="N105" i="2"/>
  <c r="B138" i="2"/>
  <c r="N138" i="2" s="1"/>
  <c r="N13" i="1"/>
  <c r="B30" i="1"/>
  <c r="B43" i="1" l="1"/>
  <c r="N43" i="1" s="1"/>
  <c r="N30" i="1"/>
</calcChain>
</file>

<file path=xl/sharedStrings.xml><?xml version="1.0" encoding="utf-8"?>
<sst xmlns="http://schemas.openxmlformats.org/spreadsheetml/2006/main" count="1245" uniqueCount="606">
  <si>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</si>
  <si>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</si>
  <si>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</si>
  <si>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</si>
  <si>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</si>
  <si>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</si>
  <si>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</si>
  <si>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</si>
  <si>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</si>
  <si>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</si>
  <si>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</si>
  <si>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</si>
  <si>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Total</t>
  </si>
  <si>
    <t>Income</t>
  </si>
  <si>
    <t xml:space="preserve">   41000 GENERAL OFFERINGS</t>
  </si>
  <si>
    <t xml:space="preserve">   45000 DESIGNATED FUNDS</t>
  </si>
  <si>
    <t xml:space="preserve">   46000 MISCELLANEOUS INCOME</t>
  </si>
  <si>
    <t xml:space="preserve">   47000 SPECIAL PROGRAM INCOME</t>
  </si>
  <si>
    <t xml:space="preserve">   48000 FACILITY USEAGE</t>
  </si>
  <si>
    <t>Total Income</t>
  </si>
  <si>
    <t>Gross Profit</t>
  </si>
  <si>
    <t>Expenses</t>
  </si>
  <si>
    <t xml:space="preserve">   *Uncategorized Expenses</t>
  </si>
  <si>
    <t xml:space="preserve">   01 ADMINISTRATION</t>
  </si>
  <si>
    <t xml:space="preserve">   02 CONFERENCES &amp; SEMINARS</t>
  </si>
  <si>
    <t xml:space="preserve">   03 BOOKSTORE EXPENSES (deleted)</t>
  </si>
  <si>
    <t xml:space="preserve">   05 COMPENSATION</t>
  </si>
  <si>
    <t xml:space="preserve">   06 FACILITY</t>
  </si>
  <si>
    <t xml:space="preserve">   07 MUSIC EXPENSES</t>
  </si>
  <si>
    <t xml:space="preserve">   08 SPECIAL EVENTS/ PROGRAMS</t>
  </si>
  <si>
    <t xml:space="preserve">   09 SUNDAY/ WORSHIP EXPENSES</t>
  </si>
  <si>
    <t xml:space="preserve">   10 TITHING</t>
  </si>
  <si>
    <t xml:space="preserve">   66900 Reconciliation Discrepancies</t>
  </si>
  <si>
    <t xml:space="preserve">   89500 Purchase Disc-Expense Items</t>
  </si>
  <si>
    <t xml:space="preserve">   Payroll Expenses</t>
  </si>
  <si>
    <t xml:space="preserve">   Reimbursements</t>
  </si>
  <si>
    <t>Total Expenses</t>
  </si>
  <si>
    <t>Net Operating Income</t>
  </si>
  <si>
    <t>Other Income</t>
  </si>
  <si>
    <t xml:space="preserve">   13 NON OPERATING INCOME ACCOUNT</t>
  </si>
  <si>
    <t xml:space="preserve">   71000 BOOKSTORE INCOME</t>
  </si>
  <si>
    <t xml:space="preserve">   71039 BOOKSTORE EXPENSE</t>
  </si>
  <si>
    <t xml:space="preserve">   Education</t>
  </si>
  <si>
    <t xml:space="preserve">   Equity Enhancement</t>
  </si>
  <si>
    <t>Total Other Income</t>
  </si>
  <si>
    <t>Other Expenses</t>
  </si>
  <si>
    <t xml:space="preserve">   Half Cent Account*</t>
  </si>
  <si>
    <t xml:space="preserve">   Voids</t>
  </si>
  <si>
    <t>Total Other Expenses</t>
  </si>
  <si>
    <t>Net Other Income</t>
  </si>
  <si>
    <t>Net Income</t>
  </si>
  <si>
    <t>Center for Spiritual Living - Greater Dayton</t>
  </si>
  <si>
    <t>Profit and Loss</t>
  </si>
  <si>
    <t>April 2015 - March 2016</t>
  </si>
  <si>
    <t xml:space="preserve">   Total Equity Enhancement</t>
  </si>
  <si>
    <t xml:space="preserve">      8250 Equity Enhancement Expense</t>
  </si>
  <si>
    <t xml:space="preserve">      8200 Equity Enhancement Income</t>
  </si>
  <si>
    <t xml:space="preserve">   Total Education</t>
  </si>
  <si>
    <t xml:space="preserve">      Total 81500 CLASS EXPENSE</t>
  </si>
  <si>
    <t xml:space="preserve">         Student Registration Expense</t>
  </si>
  <si>
    <t xml:space="preserve">         Minister's Teaching Compensati</t>
  </si>
  <si>
    <t xml:space="preserve">         Class Expense</t>
  </si>
  <si>
    <t xml:space="preserve">         Class Assistant Compensation</t>
  </si>
  <si>
    <t xml:space="preserve">      81500 CLASS EXPENSE</t>
  </si>
  <si>
    <t xml:space="preserve">      Total 81000 CLASS INCOME</t>
  </si>
  <si>
    <t xml:space="preserve">         Class Tuition</t>
  </si>
  <si>
    <t xml:space="preserve">         Class Materials</t>
  </si>
  <si>
    <t xml:space="preserve">      81000 CLASS INCOME</t>
  </si>
  <si>
    <t xml:space="preserve">   Total 71000 BOOKSTORE INCOME</t>
  </si>
  <si>
    <t xml:space="preserve">      71032 Bookstore  Sales - Consignments</t>
  </si>
  <si>
    <t xml:space="preserve">      71030 Bookstore Sales - General Merch</t>
  </si>
  <si>
    <t xml:space="preserve">   Total 13 NON OPERATING INCOME ACCOUNT</t>
  </si>
  <si>
    <t xml:space="preserve">      Pass Through Acct</t>
  </si>
  <si>
    <t xml:space="preserve">      49000 Gain or Loss Valuation of Asset</t>
  </si>
  <si>
    <t xml:space="preserve">   Total Payroll Expenses</t>
  </si>
  <si>
    <t xml:space="preserve">      Wages</t>
  </si>
  <si>
    <t xml:space="preserve">      Taxes</t>
  </si>
  <si>
    <t xml:space="preserve">   Total 10 TITHING</t>
  </si>
  <si>
    <t xml:space="preserve">      65500 Tithes to Others</t>
  </si>
  <si>
    <t xml:space="preserve">      65400 Tithes to UCSL</t>
  </si>
  <si>
    <t xml:space="preserve">   Total 09 SUNDAY/ WORSHIP EXPENSES</t>
  </si>
  <si>
    <t xml:space="preserve">      Sunday Worship Supplies</t>
  </si>
  <si>
    <t xml:space="preserve">      63800 Membership Expense</t>
  </si>
  <si>
    <t xml:space="preserve">      63100 Guest Speaker Expense</t>
  </si>
  <si>
    <t xml:space="preserve">      62700 Core Council Expense</t>
  </si>
  <si>
    <t xml:space="preserve">      62400 Church Expense</t>
  </si>
  <si>
    <t xml:space="preserve">   Total 08 SPECIAL EVENTS/ PROGRAMS</t>
  </si>
  <si>
    <t xml:space="preserve">      66000 Fundraising</t>
  </si>
  <si>
    <t xml:space="preserve">      65000 Social Activities Expense</t>
  </si>
  <si>
    <t xml:space="preserve">      64500 Practitioner Expense</t>
  </si>
  <si>
    <t xml:space="preserve">      63700 Kitchen Supplies Expense</t>
  </si>
  <si>
    <t xml:space="preserve">      62500 Compassionate Care Ministry Ex</t>
  </si>
  <si>
    <t xml:space="preserve">   Total 07 MUSIC EXPENSES</t>
  </si>
  <si>
    <t xml:space="preserve">      61100 Musicians Expense</t>
  </si>
  <si>
    <t xml:space="preserve">   Total 06 FACILITY</t>
  </si>
  <si>
    <t xml:space="preserve">      65600 Utilities Expense</t>
  </si>
  <si>
    <t xml:space="preserve">      64700 Real Estate Expense</t>
  </si>
  <si>
    <t xml:space="preserve">      63600 Janitorial Supplies Expense</t>
  </si>
  <si>
    <t xml:space="preserve">      62300 Building Repairs &amp; Maintenance</t>
  </si>
  <si>
    <t xml:space="preserve">      61200 Cleaning Wages</t>
  </si>
  <si>
    <t xml:space="preserve">   Total 05 COMPENSATION</t>
  </si>
  <si>
    <t xml:space="preserve">      Payroll Expenses</t>
  </si>
  <si>
    <t xml:space="preserve">      61400 Special Contractor's Expense</t>
  </si>
  <si>
    <t xml:space="preserve">      61075 Worker's Compensation</t>
  </si>
  <si>
    <t xml:space="preserve">      61050 Employee's Health Insurance</t>
  </si>
  <si>
    <t xml:space="preserve">      61025 Payroll Tax</t>
  </si>
  <si>
    <t xml:space="preserve">      61000 Office Wages</t>
  </si>
  <si>
    <t xml:space="preserve">      60500 Minister's Retirement</t>
  </si>
  <si>
    <t xml:space="preserve">      60400 Minister's Insurance</t>
  </si>
  <si>
    <t xml:space="preserve">      60000 Minister's Compensation</t>
  </si>
  <si>
    <t xml:space="preserve">   Total 03 BOOKSTORE EXPENSES (deleted)</t>
  </si>
  <si>
    <t xml:space="preserve">      60320 COGS- Consignment (deleted)</t>
  </si>
  <si>
    <t xml:space="preserve">      60310 COGS- Books, New (deleted)</t>
  </si>
  <si>
    <t xml:space="preserve">   Total 02 CONFERENCES &amp; SEMINARS</t>
  </si>
  <si>
    <t xml:space="preserve">      60300 Minister's Expense Account</t>
  </si>
  <si>
    <t xml:space="preserve">      60200 Minister's Conferences &amp; Cont.</t>
  </si>
  <si>
    <t xml:space="preserve">   Total 01 ADMINISTRATION</t>
  </si>
  <si>
    <t xml:space="preserve">      Total 65599 TELECOM</t>
  </si>
  <si>
    <t xml:space="preserve">         Telephone</t>
  </si>
  <si>
    <t xml:space="preserve">         IT Technician</t>
  </si>
  <si>
    <t xml:space="preserve">         Internet</t>
  </si>
  <si>
    <t xml:space="preserve">         Computer Hardware</t>
  </si>
  <si>
    <t xml:space="preserve">      65599 TELECOM</t>
  </si>
  <si>
    <t xml:space="preserve">      64400 Postage &amp; Shipping</t>
  </si>
  <si>
    <t xml:space="preserve">      64200 Office Supplies</t>
  </si>
  <si>
    <t xml:space="preserve">      64100 Office Equipment Repairs &amp; Mai</t>
  </si>
  <si>
    <t xml:space="preserve">      63400 Interest Expense</t>
  </si>
  <si>
    <t xml:space="preserve">      63300 Insurance</t>
  </si>
  <si>
    <t xml:space="preserve">      62900 Dues &amp; Subscriptions</t>
  </si>
  <si>
    <t xml:space="preserve">      62210 Merchant Service Fees</t>
  </si>
  <si>
    <t xml:space="preserve">      62202 Bank Service Fees</t>
  </si>
  <si>
    <t xml:space="preserve">      62003 Bookkeeping</t>
  </si>
  <si>
    <t xml:space="preserve">      62000 Marketing &amp; Advertising</t>
  </si>
  <si>
    <t xml:space="preserve">   Total 47000 SPECIAL PROGRAM INCOME</t>
  </si>
  <si>
    <t xml:space="preserve">      47008 Newsletter Advertising</t>
  </si>
  <si>
    <t xml:space="preserve">      47007 Animals &amp; Friends Ministry</t>
  </si>
  <si>
    <t xml:space="preserve">      47006 Fundraising Income</t>
  </si>
  <si>
    <t xml:space="preserve">      47005 Workshop Income</t>
  </si>
  <si>
    <t xml:space="preserve">   Total 46000 MISCELLANEOUS INCOME</t>
  </si>
  <si>
    <t xml:space="preserve">      46010 Education Income</t>
  </si>
  <si>
    <t xml:space="preserve">      46006 Misc Income</t>
  </si>
  <si>
    <t xml:space="preserve">      46003 Interest/Dividend Income</t>
  </si>
  <si>
    <t xml:space="preserve">   Total 45000 DESIGNATED FUNDS</t>
  </si>
  <si>
    <t xml:space="preserve">      45002 Music Ministry Income</t>
  </si>
  <si>
    <t xml:space="preserve">      45001 Kitichen Donations</t>
  </si>
  <si>
    <t xml:space="preserve">   Total 41000 GENERAL OFFERINGS</t>
  </si>
  <si>
    <t xml:space="preserve">      41003 Misc Giving</t>
  </si>
  <si>
    <t xml:space="preserve">      41002 Sunday Giving</t>
  </si>
  <si>
    <t xml:space="preserve">      41001 Online Giving</t>
  </si>
  <si>
    <t xml:space="preserve">   Total for Other Expense</t>
  </si>
  <si>
    <t xml:space="preserve">      Total for Voids</t>
  </si>
  <si>
    <t>10100.1 USBank Gen Operating Account</t>
  </si>
  <si>
    <t>void</t>
  </si>
  <si>
    <t>Void</t>
  </si>
  <si>
    <t>Check</t>
  </si>
  <si>
    <t>03/10/2016</t>
  </si>
  <si>
    <t>03/07/2016</t>
  </si>
  <si>
    <t>voided check</t>
  </si>
  <si>
    <t xml:space="preserve">      Voids</t>
  </si>
  <si>
    <t xml:space="preserve">   Other Expense</t>
  </si>
  <si>
    <t xml:space="preserve">   Total for Other Income</t>
  </si>
  <si>
    <t xml:space="preserve">      Total for Education</t>
  </si>
  <si>
    <t xml:space="preserve">         Total for 81500 CLASS EXPENSE</t>
  </si>
  <si>
    <t xml:space="preserve">            Total for Student Registration Expense</t>
  </si>
  <si>
    <t>20000 Accounts Payable</t>
  </si>
  <si>
    <t>From Whence We Came Registration  6 Students @ $45.00</t>
  </si>
  <si>
    <t>From Whence</t>
  </si>
  <si>
    <t>CSL-HQ</t>
  </si>
  <si>
    <t>Bill</t>
  </si>
  <si>
    <t>03/30/2016</t>
  </si>
  <si>
    <t xml:space="preserve">            Student Registration Expense</t>
  </si>
  <si>
    <t xml:space="preserve">            Total for Minister's Teaching Compensati</t>
  </si>
  <si>
    <t>From Whence We Came Teaching Compensation</t>
  </si>
  <si>
    <t>COLTRAIN, CAMERON S</t>
  </si>
  <si>
    <t>03/21/2016</t>
  </si>
  <si>
    <t xml:space="preserve">            Minister's Teaching Compensati</t>
  </si>
  <si>
    <t xml:space="preserve">         81500 CLASS EXPENSE</t>
  </si>
  <si>
    <t xml:space="preserve">         Total for 81000 CLASS INCOME</t>
  </si>
  <si>
    <t xml:space="preserve">            Total for Class Tuition</t>
  </si>
  <si>
    <t>Kim Smith -$100 for From Whence we came</t>
  </si>
  <si>
    <t>Stewart, Stephani</t>
  </si>
  <si>
    <t>03/31/2016</t>
  </si>
  <si>
    <t>-Split-</t>
  </si>
  <si>
    <t>Funds covering bounced check and fee</t>
  </si>
  <si>
    <t>Journal Entry</t>
  </si>
  <si>
    <t xml:space="preserve">            Class Tuition</t>
  </si>
  <si>
    <t xml:space="preserve">         81000 CLASS INCOME</t>
  </si>
  <si>
    <t xml:space="preserve">      Education</t>
  </si>
  <si>
    <t xml:space="preserve">      Total for 71039 BOOKSTORE EXPENSE</t>
  </si>
  <si>
    <t>21 Books</t>
  </si>
  <si>
    <t>New Leaf Distributing Co</t>
  </si>
  <si>
    <t>Inv: 1196309</t>
  </si>
  <si>
    <t>03/28/2016</t>
  </si>
  <si>
    <t>Bookstore: SOM Magazine</t>
  </si>
  <si>
    <t>SCIENCE OF MIND</t>
  </si>
  <si>
    <t>03/14/2016</t>
  </si>
  <si>
    <t>Consignment: Mary Jacoby ( Dec 13 sale #15 &amp; #16 92.00 - 30%=64.40)</t>
  </si>
  <si>
    <t>Jacoby, Marty</t>
  </si>
  <si>
    <t>Bkstr: Magazines Mar 2016</t>
  </si>
  <si>
    <t>Magazines</t>
  </si>
  <si>
    <t>03/01/2016</t>
  </si>
  <si>
    <t xml:space="preserve">      71039 BOOKSTORE EXPENSE</t>
  </si>
  <si>
    <t xml:space="preserve">      Total for 71000 BOOKSTORE INCOME</t>
  </si>
  <si>
    <t xml:space="preserve">         Total for 71030 Bookstore Sales - General Merch</t>
  </si>
  <si>
    <t>12001 Undeposited Funds</t>
  </si>
  <si>
    <t>Sun Mar 27: Bookstore</t>
  </si>
  <si>
    <t>Bookstore</t>
  </si>
  <si>
    <t>Sales Receipt</t>
  </si>
  <si>
    <t>03/27/2016</t>
  </si>
  <si>
    <t>Bookstore Purchase through Square</t>
  </si>
  <si>
    <t>Mar 20 Sunday Sales</t>
  </si>
  <si>
    <t>03/20/2016</t>
  </si>
  <si>
    <t>Bkstr</t>
  </si>
  <si>
    <t>03/13/2016</t>
  </si>
  <si>
    <t xml:space="preserve">         71030 Bookstore Sales - General Merch</t>
  </si>
  <si>
    <t xml:space="preserve">      71000 BOOKSTORE INCOME</t>
  </si>
  <si>
    <t xml:space="preserve">   Other Income</t>
  </si>
  <si>
    <t>Other Income/Expense</t>
  </si>
  <si>
    <t>Net Ordinary Income</t>
  </si>
  <si>
    <t xml:space="preserve">   Total for Expenses</t>
  </si>
  <si>
    <t xml:space="preserve">      Total for Reimbursements</t>
  </si>
  <si>
    <t>Wages(Minister Health Insu)</t>
  </si>
  <si>
    <t>CAMERON S. COLTRAIN</t>
  </si>
  <si>
    <t>Payroll Check</t>
  </si>
  <si>
    <t>Wages(Staff Health Insuran)</t>
  </si>
  <si>
    <t>Clara M. Jackson</t>
  </si>
  <si>
    <t>03/15/2016</t>
  </si>
  <si>
    <t xml:space="preserve">      Reimbursements</t>
  </si>
  <si>
    <t xml:space="preserve">      Total for Payroll Expenses</t>
  </si>
  <si>
    <t xml:space="preserve">         Total for Wages</t>
  </si>
  <si>
    <t>Wages(Clergy Housing Cash)</t>
  </si>
  <si>
    <t>Wages(Salary)</t>
  </si>
  <si>
    <t xml:space="preserve">         Wages</t>
  </si>
  <si>
    <t xml:space="preserve">         Total for Taxes</t>
  </si>
  <si>
    <t>Employer Taxes</t>
  </si>
  <si>
    <t xml:space="preserve">         Taxes</t>
  </si>
  <si>
    <t xml:space="preserve">      Total for *Uncategorized Expenses</t>
  </si>
  <si>
    <t>Printing Error - Void</t>
  </si>
  <si>
    <t>03/25/2016</t>
  </si>
  <si>
    <t xml:space="preserve">      *Uncategorized Expenses</t>
  </si>
  <si>
    <t xml:space="preserve">      Total for 10 TITHING</t>
  </si>
  <si>
    <t xml:space="preserve">         Total for 65400 Tithes to UCSL</t>
  </si>
  <si>
    <t>Tithe: Sun Mar 27</t>
  </si>
  <si>
    <t>Tithe: Sun Mar 20</t>
  </si>
  <si>
    <t>Tithe: Sun Mar 13</t>
  </si>
  <si>
    <t>Tithing: Sun Mar 13</t>
  </si>
  <si>
    <t>Tithe Mar 6 2016</t>
  </si>
  <si>
    <t>Tithe Mar 6</t>
  </si>
  <si>
    <t>03/06/2016</t>
  </si>
  <si>
    <t xml:space="preserve">         65400 Tithes to UCSL</t>
  </si>
  <si>
    <t xml:space="preserve">      10 TITHING</t>
  </si>
  <si>
    <t xml:space="preserve">      Total for 09 SUNDAY/ WORSHIP EXPENSES</t>
  </si>
  <si>
    <t xml:space="preserve">         Total for Sunday Worship Supplies</t>
  </si>
  <si>
    <t>22002 Credit Card:Bank of America</t>
  </si>
  <si>
    <t>Tithing Envelopes</t>
  </si>
  <si>
    <t>Sir Speedy</t>
  </si>
  <si>
    <t>Expense</t>
  </si>
  <si>
    <t>03/02/2016</t>
  </si>
  <si>
    <t xml:space="preserve">         Sunday Worship Supplies</t>
  </si>
  <si>
    <t xml:space="preserve">         Total for 63100 Guest Speaker Expense</t>
  </si>
  <si>
    <t>Sunday Guest Speaker</t>
  </si>
  <si>
    <t xml:space="preserve">         63100 Guest Speaker Expense</t>
  </si>
  <si>
    <t xml:space="preserve">      09 SUNDAY/ WORSHIP EXPENSES</t>
  </si>
  <si>
    <t xml:space="preserve">      Total for 08 SPECIAL EVENTS/ PROGRAMS</t>
  </si>
  <si>
    <t xml:space="preserve">         Total for 63700 Kitchen Supplies Expense</t>
  </si>
  <si>
    <t>22001 Credit Card:Staples</t>
  </si>
  <si>
    <t>Cafe: Coffee supplies</t>
  </si>
  <si>
    <t>STAPLES</t>
  </si>
  <si>
    <t>Order: 9737208860-000</t>
  </si>
  <si>
    <t>Kitche: Water</t>
  </si>
  <si>
    <t>ReadyRefresh</t>
  </si>
  <si>
    <t xml:space="preserve">         63700 Kitchen Supplies Expense</t>
  </si>
  <si>
    <t xml:space="preserve">         Total for 62500 Compassionate Care Ministry Ex</t>
  </si>
  <si>
    <t>Medium Vase, Lisa Clark</t>
  </si>
  <si>
    <t>FURST</t>
  </si>
  <si>
    <t>03/05/2016</t>
  </si>
  <si>
    <t>Flowers: Sweat-Brook</t>
  </si>
  <si>
    <t>Flowers: Nassmacher</t>
  </si>
  <si>
    <t xml:space="preserve">         62500 Compassionate Care Ministry Ex</t>
  </si>
  <si>
    <t xml:space="preserve">      08 SPECIAL EVENTS/ PROGRAMS</t>
  </si>
  <si>
    <t xml:space="preserve">      accountsTotal for 07 MUSIC EXPENSES with sub-accounts.</t>
  </si>
  <si>
    <t xml:space="preserve">         Total for 61100 Musicians Expense</t>
  </si>
  <si>
    <t>Music: Sunday Mar 27, 2016</t>
  </si>
  <si>
    <t>SMITH, MARILEA</t>
  </si>
  <si>
    <t>RICE, KENNY</t>
  </si>
  <si>
    <t>Browning, Jim</t>
  </si>
  <si>
    <t>MOORE, DENNIS</t>
  </si>
  <si>
    <t>Elwood, Kyle</t>
  </si>
  <si>
    <t>Music: Sunday Mar 20, 2016</t>
  </si>
  <si>
    <t>ROGERO-VICTOR, REBECCA</t>
  </si>
  <si>
    <t>HEFFNER, DAN</t>
  </si>
  <si>
    <t>Music: Sunday Mar 13 2016</t>
  </si>
  <si>
    <t>Music: Sunday Mar 6 2016</t>
  </si>
  <si>
    <t xml:space="preserve">         61100 Musicians Expense</t>
  </si>
  <si>
    <t xml:space="preserve">         Total for 07 MUSIC EXPENSES</t>
  </si>
  <si>
    <t>Void Check - Misprinted</t>
  </si>
  <si>
    <t xml:space="preserve">      07 MUSIC EXPENSES</t>
  </si>
  <si>
    <t xml:space="preserve">      Total for 06 FACILITY</t>
  </si>
  <si>
    <t xml:space="preserve">         Total for 65600 Utilities Expense</t>
  </si>
  <si>
    <t>Gas: 2/11 thru 3/10</t>
  </si>
  <si>
    <t>VECTREN ENERGY DELIVERY</t>
  </si>
  <si>
    <t>Electricity: Feb 4 - Mar 7 2016</t>
  </si>
  <si>
    <t>DP&amp;L</t>
  </si>
  <si>
    <t>Electricity: Feb 4 - Mar 7</t>
  </si>
  <si>
    <t>Montgomery County Utility Late FEE - Water</t>
  </si>
  <si>
    <t>03/09/2016</t>
  </si>
  <si>
    <t xml:space="preserve">         65600 Utilities Expense</t>
  </si>
  <si>
    <t xml:space="preserve">         Total for 63600 Janitorial Supplies Expense</t>
  </si>
  <si>
    <t>Janitorial</t>
  </si>
  <si>
    <t xml:space="preserve">         63600 Janitorial Supplies Expense</t>
  </si>
  <si>
    <t xml:space="preserve">         Total for 62300 Building Repairs &amp; Maintenance</t>
  </si>
  <si>
    <t>On Acct</t>
  </si>
  <si>
    <t>Equity Enhancement Fund</t>
  </si>
  <si>
    <t>LOWE'S</t>
  </si>
  <si>
    <t>Makeover Exp</t>
  </si>
  <si>
    <t>3/25 - Stripped/Waxed Social Room, Hallway, 2 Rooms, Restroom, Kitchen</t>
  </si>
  <si>
    <t>WELLS &amp; SONS JANITORIAL</t>
  </si>
  <si>
    <t>Inv: 25495</t>
  </si>
  <si>
    <t>Alarm Monitoring</t>
  </si>
  <si>
    <t>PROTECTION ONE</t>
  </si>
  <si>
    <t>Bill Pay</t>
  </si>
  <si>
    <t>Trash Removal</t>
  </si>
  <si>
    <t>Rumpke</t>
  </si>
  <si>
    <t>Alarm</t>
  </si>
  <si>
    <t>ADT</t>
  </si>
  <si>
    <t>22003 Credit Card:Lowe's</t>
  </si>
  <si>
    <t>Paint:</t>
  </si>
  <si>
    <t>Inv: 178524</t>
  </si>
  <si>
    <t xml:space="preserve">         62300 Building Repairs &amp; Maintenance</t>
  </si>
  <si>
    <t xml:space="preserve">         Total for 61200 Cleaning Wages</t>
  </si>
  <si>
    <t>Cleaning: Invoice # 063</t>
  </si>
  <si>
    <t>Brooks, Katherina</t>
  </si>
  <si>
    <t>Cleaning: Invoice #062</t>
  </si>
  <si>
    <t>Cleaning: Invoice # 61</t>
  </si>
  <si>
    <t xml:space="preserve">         61200 Cleaning Wages</t>
  </si>
  <si>
    <t xml:space="preserve">      06 FACILITY</t>
  </si>
  <si>
    <t xml:space="preserve">      Total for 05 COMPENSATION</t>
  </si>
  <si>
    <t xml:space="preserve">         Total for Payroll Expenses</t>
  </si>
  <si>
    <t>IRS Penality for Dec 31 2015 Payroll Tax -</t>
  </si>
  <si>
    <t>Department of the Treasury</t>
  </si>
  <si>
    <t>03/23/2016</t>
  </si>
  <si>
    <t xml:space="preserve">         Payroll Expenses</t>
  </si>
  <si>
    <t xml:space="preserve">         Total for 61075 Worker's Compensation</t>
  </si>
  <si>
    <t>Workman's Comp</t>
  </si>
  <si>
    <t>Ohio Bureau of Workers Compensation</t>
  </si>
  <si>
    <t>INV: 178431798</t>
  </si>
  <si>
    <t>03/18/2016</t>
  </si>
  <si>
    <t xml:space="preserve">         61075 Worker's Compensation</t>
  </si>
  <si>
    <t xml:space="preserve">      05 COMPENSATION</t>
  </si>
  <si>
    <t xml:space="preserve">      Total for 02 CONFERENCES &amp; SEMINARS</t>
  </si>
  <si>
    <t xml:space="preserve">         Total for 60200 Minister's Conferences &amp; Cont.</t>
  </si>
  <si>
    <t>2nd Payment to Mark Anthony Lord</t>
  </si>
  <si>
    <t>MAL Enterprises</t>
  </si>
  <si>
    <t xml:space="preserve">         60200 Minister's Conferences &amp; Cont.</t>
  </si>
  <si>
    <t xml:space="preserve">      02 CONFERENCES &amp; SEMINARS</t>
  </si>
  <si>
    <t xml:space="preserve">      Total for 01 ADMINISTRATION</t>
  </si>
  <si>
    <t xml:space="preserve">         Total for 65599 TELECOM</t>
  </si>
  <si>
    <t xml:space="preserve">            Total for Telephone</t>
  </si>
  <si>
    <t>Phone: March 7 - April 6</t>
  </si>
  <si>
    <t>AT&amp;T</t>
  </si>
  <si>
    <t>03/24/2016</t>
  </si>
  <si>
    <t xml:space="preserve">            Telephone</t>
  </si>
  <si>
    <t xml:space="preserve">            Total for Internet</t>
  </si>
  <si>
    <t>Internet: Feb 22 -Mar 21</t>
  </si>
  <si>
    <t>AT&amp;T U-verse</t>
  </si>
  <si>
    <t xml:space="preserve">            Internet</t>
  </si>
  <si>
    <t xml:space="preserve">         65599 TELECOM</t>
  </si>
  <si>
    <t xml:space="preserve">         Total for 64200 Office Supplies</t>
  </si>
  <si>
    <t>Copy Paper</t>
  </si>
  <si>
    <t xml:space="preserve">         64200 Office Supplies</t>
  </si>
  <si>
    <t xml:space="preserve">         Total for 64100 Office Equipment Repairs &amp; Mai</t>
  </si>
  <si>
    <t>Copier Rental 3/15 thru 4/14 + late fee $9.50</t>
  </si>
  <si>
    <t>DE LAGE LANDEN</t>
  </si>
  <si>
    <t>Inv: 49510229</t>
  </si>
  <si>
    <t>Overage Feb 1 - 29</t>
  </si>
  <si>
    <t>DONNELLON MCCARTHY INC.</t>
  </si>
  <si>
    <t>Copier: Contract Mar 1 - 31</t>
  </si>
  <si>
    <t>Copier Rental Feb 15 - Mar 14 2016</t>
  </si>
  <si>
    <t>03/03/2016</t>
  </si>
  <si>
    <t xml:space="preserve">         64100 Office Equipment Repairs &amp; Mai</t>
  </si>
  <si>
    <t xml:space="preserve">         Total for 63400 Interest Expense</t>
  </si>
  <si>
    <t>Loan Interest Payment Mar</t>
  </si>
  <si>
    <t>US BANK</t>
  </si>
  <si>
    <t>03/16/2016</t>
  </si>
  <si>
    <t xml:space="preserve">         63400 Interest Expense</t>
  </si>
  <si>
    <t xml:space="preserve">         Total for 63300 Insurance</t>
  </si>
  <si>
    <t>Property Insurance - Mar</t>
  </si>
  <si>
    <t>Guide One Insurance</t>
  </si>
  <si>
    <t>EFT</t>
  </si>
  <si>
    <t xml:space="preserve">         63300 Insurance</t>
  </si>
  <si>
    <t xml:space="preserve">         Total for 62210 Merchant Service Fees</t>
  </si>
  <si>
    <t>Bookstore: Square Fee</t>
  </si>
  <si>
    <t>Deposit</t>
  </si>
  <si>
    <t>Square Fee</t>
  </si>
  <si>
    <t>Electronic Funds Transfer Monthly Invoice</t>
  </si>
  <si>
    <t>Vanco Services</t>
  </si>
  <si>
    <t>Vanco Fee</t>
  </si>
  <si>
    <t xml:space="preserve">         62210 Merchant Service Fees</t>
  </si>
  <si>
    <t xml:space="preserve">         Total for 62202 Bank Service Fees</t>
  </si>
  <si>
    <t>10900 Tuition Savings Acc-2819</t>
  </si>
  <si>
    <t>MONTHLY MAINTENANCE FEE WAIVED</t>
  </si>
  <si>
    <t>MONTHLY MAINTENANCE FEE</t>
  </si>
  <si>
    <t>Finance Charge</t>
  </si>
  <si>
    <t>03/17/2016</t>
  </si>
  <si>
    <t>Analysis Service Charge</t>
  </si>
  <si>
    <t>SRVCHRGE</t>
  </si>
  <si>
    <t>FINCHRG</t>
  </si>
  <si>
    <t xml:space="preserve">         62202 Bank Service Fees</t>
  </si>
  <si>
    <t xml:space="preserve">      01 ADMINISTRATION</t>
  </si>
  <si>
    <t xml:space="preserve">   Expenses</t>
  </si>
  <si>
    <t xml:space="preserve">   Total for Income</t>
  </si>
  <si>
    <t xml:space="preserve">      Total for 48000 FACILITY USEAGE</t>
  </si>
  <si>
    <t>G'Mother Drum, Pranic Healing, Yoga, Isha Yoga</t>
  </si>
  <si>
    <t>Abraham, Earth Angels</t>
  </si>
  <si>
    <t>Sun Mar 13 Facility Use-Intenders</t>
  </si>
  <si>
    <t>Sun Mar 6 Space Use</t>
  </si>
  <si>
    <t xml:space="preserve">      48000 FACILITY USEAGE</t>
  </si>
  <si>
    <t xml:space="preserve">      Total for 46000 MISCELLANEOUS INCOME</t>
  </si>
  <si>
    <t xml:space="preserve">         Total for 46006 Misc Income</t>
  </si>
  <si>
    <t>10600 Savings Account-2807</t>
  </si>
  <si>
    <t>Amazon Associates - Monthly Percentage of sales</t>
  </si>
  <si>
    <t>AMAZON</t>
  </si>
  <si>
    <t>03/29/2016</t>
  </si>
  <si>
    <t xml:space="preserve">         46006 Misc Income</t>
  </si>
  <si>
    <t xml:space="preserve">         Total for 46003 Interest/Dividend Income</t>
  </si>
  <si>
    <t>March Interest</t>
  </si>
  <si>
    <t xml:space="preserve">         46003 Interest/Dividend Income</t>
  </si>
  <si>
    <t xml:space="preserve">      46000 MISCELLANEOUS INCOME</t>
  </si>
  <si>
    <t xml:space="preserve">      Total for 41000 GENERAL OFFERINGS</t>
  </si>
  <si>
    <t xml:space="preserve">         Total for 41003 Misc Giving</t>
  </si>
  <si>
    <t>$5 + Lowe's Rebate of $10</t>
  </si>
  <si>
    <t>Mail In</t>
  </si>
  <si>
    <t xml:space="preserve">         41003 Misc Giving</t>
  </si>
  <si>
    <t xml:space="preserve">         Total for 41002 Sunday Giving</t>
  </si>
  <si>
    <t>Sun Mar 27 Contri</t>
  </si>
  <si>
    <t>to move funds covering bounced check paid in cash</t>
  </si>
  <si>
    <t>Sun Mar 20 Contr</t>
  </si>
  <si>
    <t>Sun Mar 13 Contr</t>
  </si>
  <si>
    <t>Sun Mar 6 Contri</t>
  </si>
  <si>
    <t>Bookstore Donation</t>
  </si>
  <si>
    <t>Proof Correction Credit - US Bank Adjustment, -Sun March 6 Contri</t>
  </si>
  <si>
    <t>Sun Mar 6 Additonal Contri</t>
  </si>
  <si>
    <t>Sun Mar 6 Contri: Bank Adjustment</t>
  </si>
  <si>
    <t xml:space="preserve">         41002 Sunday Giving</t>
  </si>
  <si>
    <t xml:space="preserve">         Total for 41001 Online Giving</t>
  </si>
  <si>
    <t>Vanco: Online Giving</t>
  </si>
  <si>
    <t>Vanco: Mar 28</t>
  </si>
  <si>
    <t>Vanco</t>
  </si>
  <si>
    <t>Mailed-in-Giving</t>
  </si>
  <si>
    <t>Square Mar 20 Contr</t>
  </si>
  <si>
    <t>Vanco Mar 21</t>
  </si>
  <si>
    <t>Vanco Mar 17</t>
  </si>
  <si>
    <t>Vanco Mar 16</t>
  </si>
  <si>
    <t>Vanco Mar 15</t>
  </si>
  <si>
    <t>Square Mar 14 Contr</t>
  </si>
  <si>
    <t>Vanco Mar 9</t>
  </si>
  <si>
    <t>Vanco Mar 07</t>
  </si>
  <si>
    <t>Square Mar 6 Contri</t>
  </si>
  <si>
    <t>Vanco Mar 3</t>
  </si>
  <si>
    <t>Vanco Mar 2</t>
  </si>
  <si>
    <t>Vanco Mar 1</t>
  </si>
  <si>
    <t xml:space="preserve">         41001 Online Giving</t>
  </si>
  <si>
    <t xml:space="preserve">      41000 GENERAL OFFERINGS</t>
  </si>
  <si>
    <t xml:space="preserve">   Income</t>
  </si>
  <si>
    <t>Ordinary Income/Expenses</t>
  </si>
  <si>
    <t>Balance</t>
  </si>
  <si>
    <t>Amount</t>
  </si>
  <si>
    <t>Split</t>
  </si>
  <si>
    <t>Memo/Description</t>
  </si>
  <si>
    <t>Class</t>
  </si>
  <si>
    <t>Name</t>
  </si>
  <si>
    <t>Num</t>
  </si>
  <si>
    <t>Type</t>
  </si>
  <si>
    <t>Date</t>
  </si>
  <si>
    <t>March 2016</t>
  </si>
  <si>
    <t>Profit and Loss Detail</t>
  </si>
  <si>
    <t>TOTAL LIABILITIES AND EQUITY</t>
  </si>
  <si>
    <t xml:space="preserve">   Total Equity</t>
  </si>
  <si>
    <t xml:space="preserve">      Net Income</t>
  </si>
  <si>
    <t xml:space="preserve">      Retained Earnings</t>
  </si>
  <si>
    <t xml:space="preserve">      Opening Bal Equity</t>
  </si>
  <si>
    <t xml:space="preserve">   Equity</t>
  </si>
  <si>
    <t xml:space="preserve">   Total Liabilities</t>
  </si>
  <si>
    <t xml:space="preserve">      Total Long-Term Liabilities</t>
  </si>
  <si>
    <t xml:space="preserve">         27000 Notes Payable-US Bank</t>
  </si>
  <si>
    <t xml:space="preserve">      Long-Term Liabilities</t>
  </si>
  <si>
    <t xml:space="preserve">      Total Current Liabilities</t>
  </si>
  <si>
    <t xml:space="preserve">         Total Other Current Liabilities</t>
  </si>
  <si>
    <t xml:space="preserve">            Sales Tax Agency Payable</t>
  </si>
  <si>
    <t xml:space="preserve">            Ohio Dept of Taxation (sales tax0 Payable</t>
  </si>
  <si>
    <t xml:space="preserve">            26000 Unpaid  Retirement</t>
  </si>
  <si>
    <t xml:space="preserve">            Total 25000 Tithing Payable</t>
  </si>
  <si>
    <t xml:space="preserve">               25003 Tithe Payable - Other</t>
  </si>
  <si>
    <t xml:space="preserve">               25002 Tithe - UCSL</t>
  </si>
  <si>
    <t xml:space="preserve">               25001 Tithe - Building Fund</t>
  </si>
  <si>
    <t xml:space="preserve">            25000 Tithing Payable</t>
  </si>
  <si>
    <t xml:space="preserve">            24888 Accrued Expenses</t>
  </si>
  <si>
    <t xml:space="preserve">            24400 Deferred Class Revenue</t>
  </si>
  <si>
    <t xml:space="preserve">            Total 23000 Payroll Liabilities</t>
  </si>
  <si>
    <t xml:space="preserve">               OH Local Tax</t>
  </si>
  <si>
    <t xml:space="preserve">               OH Income Tax</t>
  </si>
  <si>
    <t xml:space="preserve">               Kettering</t>
  </si>
  <si>
    <t xml:space="preserve">               Federal Taxes (941/944)</t>
  </si>
  <si>
    <t xml:space="preserve">            23000 Payroll Liabilities</t>
  </si>
  <si>
    <t xml:space="preserve">         Other Current Liabilities</t>
  </si>
  <si>
    <t xml:space="preserve">         Total Credit Cards</t>
  </si>
  <si>
    <t xml:space="preserve">            Total Credit Card</t>
  </si>
  <si>
    <t xml:space="preserve">               22003 Lowe's</t>
  </si>
  <si>
    <t xml:space="preserve">               22002 Bank of America</t>
  </si>
  <si>
    <t xml:space="preserve">               22001 Staples</t>
  </si>
  <si>
    <t xml:space="preserve">            Credit Card</t>
  </si>
  <si>
    <t xml:space="preserve">         Credit Cards</t>
  </si>
  <si>
    <t xml:space="preserve">         Total Accounts Payable</t>
  </si>
  <si>
    <t xml:space="preserve">            20000 Accounts Payable</t>
  </si>
  <si>
    <t xml:space="preserve">         Accounts Payable</t>
  </si>
  <si>
    <t xml:space="preserve">      Current Liabilities</t>
  </si>
  <si>
    <t xml:space="preserve">   Liabilities</t>
  </si>
  <si>
    <t>LIABILITIES AND EQUITY</t>
  </si>
  <si>
    <t>TOTAL ASSETS</t>
  </si>
  <si>
    <t xml:space="preserve">   Total Fixed Assets</t>
  </si>
  <si>
    <t xml:space="preserve">      14 Land</t>
  </si>
  <si>
    <t xml:space="preserve">   Fixed Assets</t>
  </si>
  <si>
    <t xml:space="preserve">   Total Current Assets</t>
  </si>
  <si>
    <t xml:space="preserve">      Total Other current assets</t>
  </si>
  <si>
    <t xml:space="preserve">         12600 Bookstore Inventory</t>
  </si>
  <si>
    <t xml:space="preserve">         12200 Prepaid Expenses</t>
  </si>
  <si>
    <t xml:space="preserve">         12100 Ameritrade Investment Account</t>
  </si>
  <si>
    <t xml:space="preserve">         12001 Undeposited Funds</t>
  </si>
  <si>
    <t xml:space="preserve">         12000 Angel's Attic Due From (to)</t>
  </si>
  <si>
    <t xml:space="preserve">      Other current assets</t>
  </si>
  <si>
    <t xml:space="preserve">      Total Accounts Receivable</t>
  </si>
  <si>
    <t xml:space="preserve">         12002 Due from Open at the Top</t>
  </si>
  <si>
    <t xml:space="preserve">         11000 Accounts Receivable</t>
  </si>
  <si>
    <t xml:space="preserve">      Accounts Receivable</t>
  </si>
  <si>
    <t xml:space="preserve">      Total Bank Accounts</t>
  </si>
  <si>
    <t xml:space="preserve">         Total 10900 Tuition Savings Acc-2819</t>
  </si>
  <si>
    <t xml:space="preserve">            10926 From Whence You Came</t>
  </si>
  <si>
    <t xml:space="preserve">            10925 4 Agreements</t>
  </si>
  <si>
    <t xml:space="preserve">            10924 Prosperity Plus</t>
  </si>
  <si>
    <t xml:space="preserve">            10921 Essential Ernest</t>
  </si>
  <si>
    <t xml:space="preserve">            10917 Power of Your Word Tuition</t>
  </si>
  <si>
    <t xml:space="preserve">            10916 Gita Class Tuition</t>
  </si>
  <si>
    <t xml:space="preserve">            10915 Scholarship Fund</t>
  </si>
  <si>
    <t xml:space="preserve">            10914 Principles of Successful Living</t>
  </si>
  <si>
    <t xml:space="preserve">            10913 Master Practitioner Tuition</t>
  </si>
  <si>
    <t xml:space="preserve">            10911 What the Bleep Tuiton</t>
  </si>
  <si>
    <t xml:space="preserve">            10909 Prac I &amp; Prac II Tuition</t>
  </si>
  <si>
    <t xml:space="preserve">            10908 Inward Journey Tuition</t>
  </si>
  <si>
    <t xml:space="preserve">            10905 Practical Mysticism Tuition</t>
  </si>
  <si>
    <t xml:space="preserve">            10904 Spiritual Practices Tuition</t>
  </si>
  <si>
    <t xml:space="preserve">            10903 Foundations Tuition</t>
  </si>
  <si>
    <t xml:space="preserve">            10902 Teen Camp Income</t>
  </si>
  <si>
    <t xml:space="preserve">         10900 Tuition Savings Acc-2819</t>
  </si>
  <si>
    <t xml:space="preserve">         Total 10600 Savings Account-2807</t>
  </si>
  <si>
    <t xml:space="preserve">            10609 Facility Fund</t>
  </si>
  <si>
    <t xml:space="preserve">            10608 Music Ministry</t>
  </si>
  <si>
    <t xml:space="preserve">            10606 New Facility Fund</t>
  </si>
  <si>
    <t xml:space="preserve">            10605 Practitioner Fund</t>
  </si>
  <si>
    <t xml:space="preserve">            10603 Youth Church</t>
  </si>
  <si>
    <t xml:space="preserve">         10600 Savings Account-2807</t>
  </si>
  <si>
    <t xml:space="preserve">         10300 Kroger Gift Cards</t>
  </si>
  <si>
    <t xml:space="preserve">         10200 Cash on Hand- Bookstore</t>
  </si>
  <si>
    <t xml:space="preserve">         10100.1 USBank Gen Operating Account</t>
  </si>
  <si>
    <t xml:space="preserve">      Bank Accounts</t>
  </si>
  <si>
    <t xml:space="preserve">   Current Assets</t>
  </si>
  <si>
    <t>ASSETS</t>
  </si>
  <si>
    <t>As of March 31, 2016</t>
  </si>
  <si>
    <t>Balance Sheet</t>
  </si>
  <si>
    <t>TOTAL</t>
  </si>
  <si>
    <t>Yanton's Outdoor Living</t>
  </si>
  <si>
    <t>Parker, Jo</t>
  </si>
  <si>
    <t>GREIVE HARDWARE</t>
  </si>
  <si>
    <t>Fidelity Investments</t>
  </si>
  <si>
    <t>Chris Folker</t>
  </si>
  <si>
    <t>Bank of America</t>
  </si>
  <si>
    <t>91 and over</t>
  </si>
  <si>
    <t>61 - 90</t>
  </si>
  <si>
    <t>31 - 60</t>
  </si>
  <si>
    <t>1 - 30</t>
  </si>
  <si>
    <t>Current</t>
  </si>
  <si>
    <t>A/P Aging Summary</t>
  </si>
  <si>
    <t>Total for CSL-HQ</t>
  </si>
  <si>
    <t>04/07/2016</t>
  </si>
  <si>
    <t>Tithe: Sun Mar 6</t>
  </si>
  <si>
    <t>02/29/2016</t>
  </si>
  <si>
    <t>Tithe: Sun Feb 28</t>
  </si>
  <si>
    <t>02/28/2016</t>
  </si>
  <si>
    <t>02/22/2016</t>
  </si>
  <si>
    <t>Tithe: Sun Feb 21</t>
  </si>
  <si>
    <t>02/21/2016</t>
  </si>
  <si>
    <t>01/31/2016</t>
  </si>
  <si>
    <t>Tithe: Jan 31 2016</t>
  </si>
  <si>
    <t>01/24/2016</t>
  </si>
  <si>
    <t>Tithe: Jan 24 2016</t>
  </si>
  <si>
    <t>01/17/2016</t>
  </si>
  <si>
    <t>Tithe: Jan 17 2016</t>
  </si>
  <si>
    <t>01/10/2016</t>
  </si>
  <si>
    <t>Tithe: Jan 10 2016</t>
  </si>
  <si>
    <t>01/03/2016</t>
  </si>
  <si>
    <t>Tithe: Jan 3 2016</t>
  </si>
  <si>
    <t>CSL-HQ
720-496-1370</t>
  </si>
  <si>
    <t>Open Balance</t>
  </si>
  <si>
    <t>Past Due</t>
  </si>
  <si>
    <t>Due Date</t>
  </si>
  <si>
    <t>Transaction Type</t>
  </si>
  <si>
    <t>Unpaid 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</si>
</sst>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right" wrapText="1"/>
    </xf>
    <xf numFmtId="165" fontId="2" fillId="0" borderId="2" xfId="0" applyNumberFormat="1" applyFont="1" applyBorder="1" applyAlignment="1">
      <alignment horizontal="right" wrapText="1"/>
    </xf>
    <xf numFmtId="165" fontId="2" fillId="0" borderId="3" xfId="0" applyNumberFormat="1" applyFont="1" applyBorder="1" applyAlignment="1">
      <alignment horizontal="right" wrapText="1"/>
    </xf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Alignment="1"/>
    <xf numFmtId="165" fontId="2" fillId="0" borderId="3" xfId="0" applyNumberFormat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workbookViewId="0">
      <selection activeCell="E21" sqref="E21"/>
    </sheetView>
  </sheetViews>
  <sheetFormatPr defaultRowHeight="15" x14ac:dyDescent="0.25"/>
  <cols>
    <col min="1" max="1" width="32.7109375" customWidth="1"/>
    <col min="2" max="3" width="9.42578125" customWidth="1"/>
    <col min="4" max="4" width="10.28515625" customWidth="1"/>
    <col min="5" max="5" width="9.42578125" customWidth="1"/>
    <col min="6" max="9" width="10.28515625" customWidth="1"/>
    <col min="10" max="11" width="9.42578125" customWidth="1"/>
    <col min="12" max="14" width="10.28515625" customWidth="1"/>
  </cols>
  <sheetData>
    <row r="1" spans="1:14" ht="18" x14ac:dyDescent="0.2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x14ac:dyDescent="0.25">
      <c r="A2" s="9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1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14</v>
      </c>
      <c r="B7" s="5">
        <f>15978.05</f>
        <v>15978.05</v>
      </c>
      <c r="C7" s="5">
        <f>19430.88</f>
        <v>19430.88</v>
      </c>
      <c r="D7" s="5">
        <f>13862.54</f>
        <v>13862.54</v>
      </c>
      <c r="E7" s="5">
        <f>14127.81</f>
        <v>14127.81</v>
      </c>
      <c r="F7" s="5">
        <f>14586.9</f>
        <v>14586.9</v>
      </c>
      <c r="G7" s="5">
        <f>13595.87</f>
        <v>13595.87</v>
      </c>
      <c r="H7" s="5">
        <f>12562.72</f>
        <v>12562.72</v>
      </c>
      <c r="I7" s="5">
        <f>17053</f>
        <v>17053</v>
      </c>
      <c r="J7" s="5">
        <f>13734.34</f>
        <v>13734.34</v>
      </c>
      <c r="K7" s="5">
        <f>19544.7</f>
        <v>19544.7</v>
      </c>
      <c r="L7" s="5">
        <f>13268.51</f>
        <v>13268.51</v>
      </c>
      <c r="M7" s="5">
        <f>15224.06</f>
        <v>15224.06</v>
      </c>
      <c r="N7" s="5">
        <f t="shared" ref="N7:N13" si="0">(((((((((((B7)+(C7))+(D7))+(E7))+(F7))+(G7))+(H7))+(I7))+(J7))+(K7))+(L7))+(M7)</f>
        <v>182969.38</v>
      </c>
    </row>
    <row r="8" spans="1:14" x14ac:dyDescent="0.25">
      <c r="A8" s="3" t="s">
        <v>15</v>
      </c>
      <c r="B8" s="5">
        <f>11</f>
        <v>11</v>
      </c>
      <c r="C8" s="5">
        <f>5</f>
        <v>5</v>
      </c>
      <c r="D8" s="4"/>
      <c r="E8" s="5">
        <f>19</f>
        <v>19</v>
      </c>
      <c r="F8" s="5">
        <f>20</f>
        <v>20</v>
      </c>
      <c r="G8" s="4"/>
      <c r="H8" s="5">
        <f>20</f>
        <v>20</v>
      </c>
      <c r="I8" s="4"/>
      <c r="J8" s="5">
        <f>200</f>
        <v>200</v>
      </c>
      <c r="K8" s="4"/>
      <c r="L8" s="4"/>
      <c r="M8" s="4"/>
      <c r="N8" s="5">
        <f t="shared" si="0"/>
        <v>275</v>
      </c>
    </row>
    <row r="9" spans="1:14" x14ac:dyDescent="0.25">
      <c r="A9" s="3" t="s">
        <v>16</v>
      </c>
      <c r="B9" s="5">
        <f>0.01</f>
        <v>0.01</v>
      </c>
      <c r="C9" s="5">
        <f>0.02</f>
        <v>0.02</v>
      </c>
      <c r="D9" s="5">
        <f>144.69</f>
        <v>144.69</v>
      </c>
      <c r="E9" s="5">
        <f>28.04</f>
        <v>28.04</v>
      </c>
      <c r="F9" s="5">
        <f>70.62</f>
        <v>70.62</v>
      </c>
      <c r="G9" s="5">
        <f>172.92</f>
        <v>172.92</v>
      </c>
      <c r="H9" s="5">
        <f>0.07</f>
        <v>7.0000000000000007E-2</v>
      </c>
      <c r="I9" s="5">
        <f>87.15</f>
        <v>87.15</v>
      </c>
      <c r="J9" s="5">
        <f>1378</f>
        <v>1378</v>
      </c>
      <c r="K9" s="5">
        <f>70.78</f>
        <v>70.78</v>
      </c>
      <c r="L9" s="5">
        <f>765.47</f>
        <v>765.47</v>
      </c>
      <c r="M9" s="5">
        <f>37.67</f>
        <v>37.67</v>
      </c>
      <c r="N9" s="5">
        <f t="shared" si="0"/>
        <v>2755.44</v>
      </c>
    </row>
    <row r="10" spans="1:14" x14ac:dyDescent="0.25">
      <c r="A10" s="3" t="s">
        <v>17</v>
      </c>
      <c r="B10" s="5">
        <f>283</f>
        <v>283</v>
      </c>
      <c r="C10" s="5">
        <f>340.95</f>
        <v>340.95</v>
      </c>
      <c r="D10" s="5">
        <f>-89.31</f>
        <v>-89.31</v>
      </c>
      <c r="E10" s="5">
        <f>1061</f>
        <v>1061</v>
      </c>
      <c r="F10" s="5">
        <f>316</f>
        <v>316</v>
      </c>
      <c r="G10" s="5">
        <f>192</f>
        <v>192</v>
      </c>
      <c r="H10" s="5">
        <f>300</f>
        <v>300</v>
      </c>
      <c r="I10" s="5">
        <f>583.4</f>
        <v>583.4</v>
      </c>
      <c r="J10" s="5">
        <f>40</f>
        <v>40</v>
      </c>
      <c r="K10" s="4"/>
      <c r="L10" s="4"/>
      <c r="M10" s="4"/>
      <c r="N10" s="5">
        <f t="shared" si="0"/>
        <v>3027.0400000000004</v>
      </c>
    </row>
    <row r="11" spans="1:14" x14ac:dyDescent="0.25">
      <c r="A11" s="3" t="s">
        <v>18</v>
      </c>
      <c r="B11" s="5">
        <f>517</f>
        <v>517</v>
      </c>
      <c r="C11" s="5">
        <f>506.26</f>
        <v>506.26</v>
      </c>
      <c r="D11" s="5">
        <f>377.08</f>
        <v>377.08</v>
      </c>
      <c r="E11" s="5">
        <f>407.7</f>
        <v>407.7</v>
      </c>
      <c r="F11" s="5">
        <f>493</f>
        <v>493</v>
      </c>
      <c r="G11" s="5">
        <f>437</f>
        <v>437</v>
      </c>
      <c r="H11" s="5">
        <f>458</f>
        <v>458</v>
      </c>
      <c r="I11" s="5">
        <f>319</f>
        <v>319</v>
      </c>
      <c r="J11" s="5">
        <f>384.66</f>
        <v>384.66</v>
      </c>
      <c r="K11" s="5">
        <f>369</f>
        <v>369</v>
      </c>
      <c r="L11" s="5">
        <f>927.3</f>
        <v>927.3</v>
      </c>
      <c r="M11" s="5">
        <f>642.91</f>
        <v>642.91</v>
      </c>
      <c r="N11" s="5">
        <f t="shared" si="0"/>
        <v>5838.91</v>
      </c>
    </row>
    <row r="12" spans="1:14" x14ac:dyDescent="0.25">
      <c r="A12" s="3" t="s">
        <v>19</v>
      </c>
      <c r="B12" s="6">
        <f t="shared" ref="B12:M12" si="1">((((B7)+(B8))+(B9))+(B10))+(B11)</f>
        <v>16789.059999999998</v>
      </c>
      <c r="C12" s="6">
        <f t="shared" si="1"/>
        <v>20283.11</v>
      </c>
      <c r="D12" s="6">
        <f t="shared" si="1"/>
        <v>14295.000000000002</v>
      </c>
      <c r="E12" s="6">
        <f t="shared" si="1"/>
        <v>15643.550000000001</v>
      </c>
      <c r="F12" s="6">
        <f t="shared" si="1"/>
        <v>15486.52</v>
      </c>
      <c r="G12" s="6">
        <f t="shared" si="1"/>
        <v>14397.79</v>
      </c>
      <c r="H12" s="6">
        <f t="shared" si="1"/>
        <v>13340.789999999999</v>
      </c>
      <c r="I12" s="6">
        <f t="shared" si="1"/>
        <v>18042.550000000003</v>
      </c>
      <c r="J12" s="6">
        <f t="shared" si="1"/>
        <v>15737</v>
      </c>
      <c r="K12" s="6">
        <f t="shared" si="1"/>
        <v>19984.48</v>
      </c>
      <c r="L12" s="6">
        <f t="shared" si="1"/>
        <v>14961.279999999999</v>
      </c>
      <c r="M12" s="6">
        <f t="shared" si="1"/>
        <v>15904.64</v>
      </c>
      <c r="N12" s="6">
        <f t="shared" si="0"/>
        <v>194865.77000000002</v>
      </c>
    </row>
    <row r="13" spans="1:14" x14ac:dyDescent="0.25">
      <c r="A13" s="3" t="s">
        <v>20</v>
      </c>
      <c r="B13" s="6">
        <f t="shared" ref="B13:M13" si="2">(B12)-(0)</f>
        <v>16789.059999999998</v>
      </c>
      <c r="C13" s="6">
        <f t="shared" si="2"/>
        <v>20283.11</v>
      </c>
      <c r="D13" s="6">
        <f t="shared" si="2"/>
        <v>14295.000000000002</v>
      </c>
      <c r="E13" s="6">
        <f t="shared" si="2"/>
        <v>15643.550000000001</v>
      </c>
      <c r="F13" s="6">
        <f t="shared" si="2"/>
        <v>15486.52</v>
      </c>
      <c r="G13" s="6">
        <f t="shared" si="2"/>
        <v>14397.79</v>
      </c>
      <c r="H13" s="6">
        <f t="shared" si="2"/>
        <v>13340.789999999999</v>
      </c>
      <c r="I13" s="6">
        <f t="shared" si="2"/>
        <v>18042.550000000003</v>
      </c>
      <c r="J13" s="6">
        <f t="shared" si="2"/>
        <v>15737</v>
      </c>
      <c r="K13" s="6">
        <f t="shared" si="2"/>
        <v>19984.48</v>
      </c>
      <c r="L13" s="6">
        <f t="shared" si="2"/>
        <v>14961.279999999999</v>
      </c>
      <c r="M13" s="6">
        <f t="shared" si="2"/>
        <v>15904.64</v>
      </c>
      <c r="N13" s="6">
        <f t="shared" si="0"/>
        <v>194865.77000000002</v>
      </c>
    </row>
    <row r="14" spans="1:14" x14ac:dyDescent="0.25">
      <c r="A14" s="3" t="s">
        <v>21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idden="1" x14ac:dyDescent="0.25">
      <c r="A15" s="3" t="s">
        <v>22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5">
        <f>0</f>
        <v>0</v>
      </c>
      <c r="N15" s="5">
        <f t="shared" ref="N15:N30" si="3">(((((((((((B15)+(C15))+(D15))+(E15))+(F15))+(G15))+(H15))+(I15))+(J15))+(K15))+(L15))+(M15)</f>
        <v>0</v>
      </c>
    </row>
    <row r="16" spans="1:14" x14ac:dyDescent="0.25">
      <c r="A16" s="3" t="s">
        <v>23</v>
      </c>
      <c r="B16" s="5">
        <f>2273.93</f>
        <v>2273.9299999999998</v>
      </c>
      <c r="C16" s="5">
        <f>2117.79</f>
        <v>2117.79</v>
      </c>
      <c r="D16" s="5">
        <f>3838.99</f>
        <v>3838.99</v>
      </c>
      <c r="E16" s="5">
        <f>2033.79</f>
        <v>2033.79</v>
      </c>
      <c r="F16" s="5">
        <f>2676.48</f>
        <v>2676.48</v>
      </c>
      <c r="G16" s="5">
        <f>2921.86</f>
        <v>2921.86</v>
      </c>
      <c r="H16" s="5">
        <f>1718.52</f>
        <v>1718.52</v>
      </c>
      <c r="I16" s="5">
        <f>1807.69</f>
        <v>1807.69</v>
      </c>
      <c r="J16" s="5">
        <f>1580.82</f>
        <v>1580.82</v>
      </c>
      <c r="K16" s="5">
        <f>2627.54</f>
        <v>2627.54</v>
      </c>
      <c r="L16" s="5">
        <f>1763.73</f>
        <v>1763.73</v>
      </c>
      <c r="M16" s="5">
        <f>1336.8</f>
        <v>1336.8</v>
      </c>
      <c r="N16" s="5">
        <f t="shared" si="3"/>
        <v>26697.94</v>
      </c>
    </row>
    <row r="17" spans="1:14" x14ac:dyDescent="0.25">
      <c r="A17" s="3" t="s">
        <v>24</v>
      </c>
      <c r="B17" s="5">
        <f>1735</f>
        <v>1735</v>
      </c>
      <c r="C17" s="5">
        <f>350.1</f>
        <v>350.1</v>
      </c>
      <c r="D17" s="4"/>
      <c r="E17" s="5">
        <f>66.15</f>
        <v>66.150000000000006</v>
      </c>
      <c r="F17" s="5">
        <f>411.65</f>
        <v>411.65</v>
      </c>
      <c r="G17" s="4"/>
      <c r="H17" s="5">
        <f>592.77</f>
        <v>592.77</v>
      </c>
      <c r="I17" s="5">
        <f>658.67</f>
        <v>658.67</v>
      </c>
      <c r="J17" s="5">
        <f>225</f>
        <v>225</v>
      </c>
      <c r="K17" s="5">
        <f>588.71</f>
        <v>588.71</v>
      </c>
      <c r="L17" s="5">
        <f>781.21</f>
        <v>781.21</v>
      </c>
      <c r="M17" s="5">
        <f>210</f>
        <v>210</v>
      </c>
      <c r="N17" s="5">
        <f t="shared" si="3"/>
        <v>5619.26</v>
      </c>
    </row>
    <row r="18" spans="1:14" x14ac:dyDescent="0.25">
      <c r="A18" s="3" t="s">
        <v>25</v>
      </c>
      <c r="B18" s="4"/>
      <c r="C18" s="4"/>
      <c r="D18" s="4"/>
      <c r="E18" s="4"/>
      <c r="F18" s="4"/>
      <c r="G18" s="4"/>
      <c r="H18" s="4"/>
      <c r="I18" s="4"/>
      <c r="J18" s="5">
        <f>409.66</f>
        <v>409.66</v>
      </c>
      <c r="K18" s="4"/>
      <c r="L18" s="5">
        <f>39.96</f>
        <v>39.96</v>
      </c>
      <c r="M18" s="4"/>
      <c r="N18" s="5">
        <f t="shared" si="3"/>
        <v>449.62</v>
      </c>
    </row>
    <row r="19" spans="1:14" x14ac:dyDescent="0.25">
      <c r="A19" s="3" t="s">
        <v>26</v>
      </c>
      <c r="B19" s="5">
        <f>8426.02</f>
        <v>8426.02</v>
      </c>
      <c r="C19" s="5">
        <f>8354.44</f>
        <v>8354.44</v>
      </c>
      <c r="D19" s="5">
        <f>8354.43</f>
        <v>8354.43</v>
      </c>
      <c r="E19" s="5">
        <f>8354.44</f>
        <v>8354.44</v>
      </c>
      <c r="F19" s="5">
        <f>8354.44</f>
        <v>8354.44</v>
      </c>
      <c r="G19" s="5">
        <f>8713.01</f>
        <v>8713.01</v>
      </c>
      <c r="H19" s="5">
        <f>8396.26</f>
        <v>8396.26</v>
      </c>
      <c r="I19" s="5">
        <f>8396.26</f>
        <v>8396.26</v>
      </c>
      <c r="J19" s="5">
        <f>8427.51</f>
        <v>8427.51</v>
      </c>
      <c r="K19" s="5">
        <f>8385.69</f>
        <v>8385.69</v>
      </c>
      <c r="L19" s="5">
        <f>8898.69</f>
        <v>8898.69</v>
      </c>
      <c r="M19" s="5">
        <f>339.08</f>
        <v>339.08</v>
      </c>
      <c r="N19" s="5">
        <f t="shared" si="3"/>
        <v>93400.27</v>
      </c>
    </row>
    <row r="20" spans="1:14" x14ac:dyDescent="0.25">
      <c r="A20" s="3" t="s">
        <v>27</v>
      </c>
      <c r="B20" s="5">
        <f>1697.39</f>
        <v>1697.39</v>
      </c>
      <c r="C20" s="5">
        <f>2894.04</f>
        <v>2894.04</v>
      </c>
      <c r="D20" s="5">
        <f>1172.57</f>
        <v>1172.57</v>
      </c>
      <c r="E20" s="5">
        <f>2015.82</f>
        <v>2015.82</v>
      </c>
      <c r="F20" s="5">
        <f>1780.9</f>
        <v>1780.9</v>
      </c>
      <c r="G20" s="5">
        <f>2060.63</f>
        <v>2060.63</v>
      </c>
      <c r="H20" s="5">
        <f>1199.93</f>
        <v>1199.93</v>
      </c>
      <c r="I20" s="5">
        <f>2151.92</f>
        <v>2151.92</v>
      </c>
      <c r="J20" s="5">
        <f>1856.96</f>
        <v>1856.96</v>
      </c>
      <c r="K20" s="5">
        <f>2410.5</f>
        <v>2410.5</v>
      </c>
      <c r="L20" s="5">
        <f>2393.81</f>
        <v>2393.81</v>
      </c>
      <c r="M20" s="5">
        <f>2070.94</f>
        <v>2070.94</v>
      </c>
      <c r="N20" s="5">
        <f t="shared" si="3"/>
        <v>23705.41</v>
      </c>
    </row>
    <row r="21" spans="1:14" x14ac:dyDescent="0.25">
      <c r="A21" s="3" t="s">
        <v>28</v>
      </c>
      <c r="B21" s="5">
        <f>1850</f>
        <v>1850</v>
      </c>
      <c r="C21" s="5">
        <f>2025</f>
        <v>2025</v>
      </c>
      <c r="D21" s="5">
        <f>1650</f>
        <v>1650</v>
      </c>
      <c r="E21" s="5">
        <f>1725</f>
        <v>1725</v>
      </c>
      <c r="F21" s="5">
        <f>2150</f>
        <v>2150</v>
      </c>
      <c r="G21" s="5">
        <f>1875</f>
        <v>1875</v>
      </c>
      <c r="H21" s="5">
        <f>1700</f>
        <v>1700</v>
      </c>
      <c r="I21" s="5">
        <f>2175</f>
        <v>2175</v>
      </c>
      <c r="J21" s="5">
        <f>1650</f>
        <v>1650</v>
      </c>
      <c r="K21" s="5">
        <f>2300</f>
        <v>2300</v>
      </c>
      <c r="L21" s="5">
        <f>1500</f>
        <v>1500</v>
      </c>
      <c r="M21" s="5">
        <f>1750</f>
        <v>1750</v>
      </c>
      <c r="N21" s="5">
        <f t="shared" si="3"/>
        <v>22350</v>
      </c>
    </row>
    <row r="22" spans="1:14" x14ac:dyDescent="0.25">
      <c r="A22" s="3" t="s">
        <v>29</v>
      </c>
      <c r="B22" s="5">
        <f>60.9</f>
        <v>60.9</v>
      </c>
      <c r="C22" s="5">
        <f>62.83</f>
        <v>62.83</v>
      </c>
      <c r="D22" s="5">
        <f>161.64</f>
        <v>161.63999999999999</v>
      </c>
      <c r="E22" s="5">
        <f>153.96</f>
        <v>153.96</v>
      </c>
      <c r="F22" s="5">
        <f>227.72</f>
        <v>227.72</v>
      </c>
      <c r="G22" s="5">
        <f>72.39</f>
        <v>72.39</v>
      </c>
      <c r="H22" s="5">
        <f>161.87</f>
        <v>161.87</v>
      </c>
      <c r="I22" s="5">
        <f>611.02</f>
        <v>611.02</v>
      </c>
      <c r="J22" s="5">
        <f>279.41</f>
        <v>279.41000000000003</v>
      </c>
      <c r="K22" s="5">
        <f>27.03</f>
        <v>27.03</v>
      </c>
      <c r="L22" s="5">
        <f>275.71</f>
        <v>275.70999999999998</v>
      </c>
      <c r="M22" s="5">
        <f>181.03</f>
        <v>181.03</v>
      </c>
      <c r="N22" s="5">
        <f t="shared" si="3"/>
        <v>2275.5100000000002</v>
      </c>
    </row>
    <row r="23" spans="1:14" x14ac:dyDescent="0.25">
      <c r="A23" s="3" t="s">
        <v>30</v>
      </c>
      <c r="B23" s="5">
        <f>24.95</f>
        <v>24.95</v>
      </c>
      <c r="C23" s="5">
        <f>150</f>
        <v>150</v>
      </c>
      <c r="D23" s="5">
        <f>150</f>
        <v>150</v>
      </c>
      <c r="E23" s="5">
        <f>200</f>
        <v>200</v>
      </c>
      <c r="F23" s="5">
        <f>220.24</f>
        <v>220.24</v>
      </c>
      <c r="G23" s="4"/>
      <c r="H23" s="5">
        <f>306.65</f>
        <v>306.64999999999998</v>
      </c>
      <c r="I23" s="5">
        <f>29.95</f>
        <v>29.95</v>
      </c>
      <c r="J23" s="5">
        <f>216.26</f>
        <v>216.26</v>
      </c>
      <c r="K23" s="5">
        <f>166.74</f>
        <v>166.74</v>
      </c>
      <c r="L23" s="5">
        <f>75</f>
        <v>75</v>
      </c>
      <c r="M23" s="5">
        <f>431.7</f>
        <v>431.7</v>
      </c>
      <c r="N23" s="5">
        <f t="shared" si="3"/>
        <v>1971.4900000000002</v>
      </c>
    </row>
    <row r="24" spans="1:14" x14ac:dyDescent="0.25">
      <c r="A24" s="3" t="s">
        <v>31</v>
      </c>
      <c r="B24" s="5">
        <f>554</f>
        <v>554</v>
      </c>
      <c r="C24" s="5">
        <f>863.1</f>
        <v>863.1</v>
      </c>
      <c r="D24" s="5">
        <f>898.73</f>
        <v>898.73</v>
      </c>
      <c r="E24" s="5">
        <f>654.7</f>
        <v>654.70000000000005</v>
      </c>
      <c r="F24" s="5">
        <f>924.18</f>
        <v>924.18</v>
      </c>
      <c r="G24" s="5">
        <f>848.88</f>
        <v>848.88</v>
      </c>
      <c r="H24" s="5">
        <f>667.4</f>
        <v>667.4</v>
      </c>
      <c r="I24" s="5">
        <f>603.1</f>
        <v>603.1</v>
      </c>
      <c r="J24" s="4"/>
      <c r="K24" s="5">
        <f>1440.5</f>
        <v>1440.5</v>
      </c>
      <c r="L24" s="5">
        <f>899.6</f>
        <v>899.6</v>
      </c>
      <c r="M24" s="5">
        <f>1195.92</f>
        <v>1195.92</v>
      </c>
      <c r="N24" s="5">
        <f t="shared" si="3"/>
        <v>9550.1099999999988</v>
      </c>
    </row>
    <row r="25" spans="1:14" x14ac:dyDescent="0.25">
      <c r="A25" s="3" t="s">
        <v>32</v>
      </c>
      <c r="B25" s="5">
        <f>3.14</f>
        <v>3.14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>
        <f t="shared" si="3"/>
        <v>3.14</v>
      </c>
    </row>
    <row r="26" spans="1:14" x14ac:dyDescent="0.25">
      <c r="A26" s="3" t="s">
        <v>33</v>
      </c>
      <c r="B26" s="4"/>
      <c r="C26" s="4"/>
      <c r="D26" s="4"/>
      <c r="E26" s="4"/>
      <c r="F26" s="4"/>
      <c r="G26" s="5">
        <f>-33.89</f>
        <v>-33.89</v>
      </c>
      <c r="H26" s="4"/>
      <c r="I26" s="4"/>
      <c r="J26" s="4"/>
      <c r="K26" s="4"/>
      <c r="L26" s="4"/>
      <c r="M26" s="4"/>
      <c r="N26" s="5">
        <f t="shared" si="3"/>
        <v>-33.89</v>
      </c>
    </row>
    <row r="27" spans="1:14" x14ac:dyDescent="0.25">
      <c r="A27" s="3" t="s">
        <v>34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5">
        <f>6708.22</f>
        <v>6708.22</v>
      </c>
      <c r="N27" s="5">
        <f t="shared" si="3"/>
        <v>6708.22</v>
      </c>
    </row>
    <row r="28" spans="1:14" x14ac:dyDescent="0.25">
      <c r="A28" s="3" t="s">
        <v>35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5">
        <f>1096.76</f>
        <v>1096.76</v>
      </c>
      <c r="N28" s="5">
        <f t="shared" si="3"/>
        <v>1096.76</v>
      </c>
    </row>
    <row r="29" spans="1:14" x14ac:dyDescent="0.25">
      <c r="A29" s="3" t="s">
        <v>36</v>
      </c>
      <c r="B29" s="6">
        <f t="shared" ref="B29:M29" si="4">(((((((((((((B15)+(B16))+(B17))+(B18))+(B19))+(B20))+(B21))+(B22))+(B23))+(B24))+(B25))+(B26))+(B27))+(B28)</f>
        <v>16625.330000000002</v>
      </c>
      <c r="C29" s="6">
        <f t="shared" si="4"/>
        <v>16817.3</v>
      </c>
      <c r="D29" s="6">
        <f t="shared" si="4"/>
        <v>16226.359999999999</v>
      </c>
      <c r="E29" s="6">
        <f t="shared" si="4"/>
        <v>15203.86</v>
      </c>
      <c r="F29" s="6">
        <f t="shared" si="4"/>
        <v>16745.609999999997</v>
      </c>
      <c r="G29" s="6">
        <f t="shared" si="4"/>
        <v>16457.88</v>
      </c>
      <c r="H29" s="6">
        <f t="shared" si="4"/>
        <v>14743.4</v>
      </c>
      <c r="I29" s="6">
        <f t="shared" si="4"/>
        <v>16433.61</v>
      </c>
      <c r="J29" s="6">
        <f t="shared" si="4"/>
        <v>14645.62</v>
      </c>
      <c r="K29" s="6">
        <f t="shared" si="4"/>
        <v>17946.710000000003</v>
      </c>
      <c r="L29" s="6">
        <f t="shared" si="4"/>
        <v>16627.71</v>
      </c>
      <c r="M29" s="6">
        <f t="shared" si="4"/>
        <v>15320.449999999999</v>
      </c>
      <c r="N29" s="6">
        <f t="shared" si="3"/>
        <v>193793.84</v>
      </c>
    </row>
    <row r="30" spans="1:14" x14ac:dyDescent="0.25">
      <c r="A30" s="3" t="s">
        <v>37</v>
      </c>
      <c r="B30" s="6">
        <f t="shared" ref="B30:M30" si="5">(B13)-(B29)</f>
        <v>163.72999999999593</v>
      </c>
      <c r="C30" s="6">
        <f t="shared" si="5"/>
        <v>3465.8100000000013</v>
      </c>
      <c r="D30" s="6">
        <f t="shared" si="5"/>
        <v>-1931.3599999999969</v>
      </c>
      <c r="E30" s="6">
        <f t="shared" si="5"/>
        <v>439.69000000000051</v>
      </c>
      <c r="F30" s="6">
        <f t="shared" si="5"/>
        <v>-1259.0899999999965</v>
      </c>
      <c r="G30" s="6">
        <f t="shared" si="5"/>
        <v>-2060.09</v>
      </c>
      <c r="H30" s="6">
        <f t="shared" si="5"/>
        <v>-1402.6100000000006</v>
      </c>
      <c r="I30" s="6">
        <f t="shared" si="5"/>
        <v>1608.9400000000023</v>
      </c>
      <c r="J30" s="6">
        <f t="shared" si="5"/>
        <v>1091.3799999999992</v>
      </c>
      <c r="K30" s="6">
        <f t="shared" si="5"/>
        <v>2037.7699999999968</v>
      </c>
      <c r="L30" s="6">
        <f t="shared" si="5"/>
        <v>-1666.4300000000003</v>
      </c>
      <c r="M30" s="6">
        <f t="shared" si="5"/>
        <v>584.19000000000051</v>
      </c>
      <c r="N30" s="6">
        <f t="shared" si="3"/>
        <v>1071.9300000000021</v>
      </c>
    </row>
    <row r="31" spans="1:14" x14ac:dyDescent="0.25">
      <c r="A31" s="3" t="s">
        <v>38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 s="3" t="s">
        <v>39</v>
      </c>
      <c r="B32" s="5">
        <f>252.12</f>
        <v>252.12</v>
      </c>
      <c r="C32" s="4"/>
      <c r="D32" s="4"/>
      <c r="E32" s="4"/>
      <c r="F32" s="4"/>
      <c r="G32" s="5">
        <f>-2113.22</f>
        <v>-2113.2199999999998</v>
      </c>
      <c r="H32" s="5">
        <f>1707.28</f>
        <v>1707.28</v>
      </c>
      <c r="I32" s="5">
        <f>-152.16</f>
        <v>-152.16</v>
      </c>
      <c r="J32" s="5">
        <f>252.54</f>
        <v>252.54</v>
      </c>
      <c r="K32" s="4"/>
      <c r="L32" s="4"/>
      <c r="M32" s="4"/>
      <c r="N32" s="5">
        <f t="shared" ref="N32:N37" si="6">(((((((((((B32)+(C32))+(D32))+(E32))+(F32))+(G32))+(H32))+(I32))+(J32))+(K32))+(L32))+(M32)</f>
        <v>-53.439999999999912</v>
      </c>
    </row>
    <row r="33" spans="1:14" x14ac:dyDescent="0.25">
      <c r="A33" s="3" t="s">
        <v>40</v>
      </c>
      <c r="B33" s="5">
        <f>646.84</f>
        <v>646.84</v>
      </c>
      <c r="C33" s="5">
        <f>296.5</f>
        <v>296.5</v>
      </c>
      <c r="D33" s="5">
        <f>304.38</f>
        <v>304.38</v>
      </c>
      <c r="E33" s="5">
        <f>195.33</f>
        <v>195.33</v>
      </c>
      <c r="F33" s="5">
        <f>219.68</f>
        <v>219.68</v>
      </c>
      <c r="G33" s="5">
        <f>443.34</f>
        <v>443.34</v>
      </c>
      <c r="H33" s="5">
        <f>228.74</f>
        <v>228.74</v>
      </c>
      <c r="I33" s="5">
        <f>60.24</f>
        <v>60.24</v>
      </c>
      <c r="J33" s="5">
        <f>885.53</f>
        <v>885.53</v>
      </c>
      <c r="K33" s="5">
        <f>441.61</f>
        <v>441.61</v>
      </c>
      <c r="L33" s="5">
        <f>122.39</f>
        <v>122.39</v>
      </c>
      <c r="M33" s="5">
        <f>162.28</f>
        <v>162.28</v>
      </c>
      <c r="N33" s="5">
        <f t="shared" si="6"/>
        <v>4006.86</v>
      </c>
    </row>
    <row r="34" spans="1:14" x14ac:dyDescent="0.25">
      <c r="A34" s="3" t="s">
        <v>41</v>
      </c>
      <c r="B34" s="5">
        <f>-713.71</f>
        <v>-713.71</v>
      </c>
      <c r="C34" s="5">
        <f>-42.22</f>
        <v>-42.22</v>
      </c>
      <c r="D34" s="5">
        <f>-28.5</f>
        <v>-28.5</v>
      </c>
      <c r="E34" s="5">
        <f>-14.25</f>
        <v>-14.25</v>
      </c>
      <c r="F34" s="5">
        <f>-287.73</f>
        <v>-287.73</v>
      </c>
      <c r="G34" s="5">
        <f>-252.42</f>
        <v>-252.42</v>
      </c>
      <c r="H34" s="5">
        <f>-28.5</f>
        <v>-28.5</v>
      </c>
      <c r="I34" s="4"/>
      <c r="J34" s="5">
        <f>-392.76</f>
        <v>-392.76</v>
      </c>
      <c r="K34" s="5">
        <f>-289.35</f>
        <v>-289.35000000000002</v>
      </c>
      <c r="L34" s="5">
        <f>-234.02</f>
        <v>-234.02</v>
      </c>
      <c r="M34" s="5">
        <f>-243.86</f>
        <v>-243.86</v>
      </c>
      <c r="N34" s="5">
        <f t="shared" si="6"/>
        <v>-2527.3200000000002</v>
      </c>
    </row>
    <row r="35" spans="1:14" x14ac:dyDescent="0.25">
      <c r="A35" s="3" t="s">
        <v>42</v>
      </c>
      <c r="B35" s="5">
        <f>1270.94</f>
        <v>1270.94</v>
      </c>
      <c r="C35" s="5">
        <f>104</f>
        <v>104</v>
      </c>
      <c r="D35" s="4"/>
      <c r="E35" s="4"/>
      <c r="F35" s="5">
        <f>325</f>
        <v>325</v>
      </c>
      <c r="G35" s="5">
        <f>1765</f>
        <v>1765</v>
      </c>
      <c r="H35" s="5">
        <f>-172</f>
        <v>-172</v>
      </c>
      <c r="I35" s="5">
        <f>-640</f>
        <v>-640</v>
      </c>
      <c r="J35" s="5">
        <f>-1045</f>
        <v>-1045</v>
      </c>
      <c r="K35" s="5">
        <f>2020</f>
        <v>2020</v>
      </c>
      <c r="L35" s="5">
        <f>-1009</f>
        <v>-1009</v>
      </c>
      <c r="M35" s="5">
        <f>-1105.6</f>
        <v>-1105.5999999999999</v>
      </c>
      <c r="N35" s="5">
        <f t="shared" si="6"/>
        <v>1513.3400000000001</v>
      </c>
    </row>
    <row r="36" spans="1:14" x14ac:dyDescent="0.25">
      <c r="A36" s="3" t="s">
        <v>43</v>
      </c>
      <c r="B36" s="4"/>
      <c r="C36" s="5">
        <f>5446.8</f>
        <v>5446.8</v>
      </c>
      <c r="D36" s="5">
        <f>6514</f>
        <v>6514</v>
      </c>
      <c r="E36" s="5">
        <f>2825.08</f>
        <v>2825.08</v>
      </c>
      <c r="F36" s="5">
        <f>-1514.79</f>
        <v>-1514.79</v>
      </c>
      <c r="G36" s="5">
        <f>-5298.68</f>
        <v>-5298.68</v>
      </c>
      <c r="H36" s="5">
        <f>-8179.83</f>
        <v>-8179.83</v>
      </c>
      <c r="I36" s="5">
        <f>-3674.49</f>
        <v>-3674.49</v>
      </c>
      <c r="J36" s="5">
        <f>292.72</f>
        <v>292.72000000000003</v>
      </c>
      <c r="K36" s="4"/>
      <c r="L36" s="5">
        <f>-167.08</f>
        <v>-167.08</v>
      </c>
      <c r="M36" s="4"/>
      <c r="N36" s="5">
        <f t="shared" si="6"/>
        <v>-3756.2699999999995</v>
      </c>
    </row>
    <row r="37" spans="1:14" x14ac:dyDescent="0.25">
      <c r="A37" s="3" t="s">
        <v>44</v>
      </c>
      <c r="B37" s="6">
        <f t="shared" ref="B37:M37" si="7">((((B32)+(B33))+(B34))+(B35))+(B36)</f>
        <v>1456.19</v>
      </c>
      <c r="C37" s="6">
        <f t="shared" si="7"/>
        <v>5805.08</v>
      </c>
      <c r="D37" s="6">
        <f t="shared" si="7"/>
        <v>6789.88</v>
      </c>
      <c r="E37" s="6">
        <f t="shared" si="7"/>
        <v>3006.16</v>
      </c>
      <c r="F37" s="6">
        <f t="shared" si="7"/>
        <v>-1257.8399999999999</v>
      </c>
      <c r="G37" s="6">
        <f t="shared" si="7"/>
        <v>-5455.9800000000005</v>
      </c>
      <c r="H37" s="6">
        <f t="shared" si="7"/>
        <v>-6444.3099999999995</v>
      </c>
      <c r="I37" s="6">
        <f t="shared" si="7"/>
        <v>-4406.41</v>
      </c>
      <c r="J37" s="6">
        <f t="shared" si="7"/>
        <v>-6.9700000000000273</v>
      </c>
      <c r="K37" s="6">
        <f t="shared" si="7"/>
        <v>2172.2600000000002</v>
      </c>
      <c r="L37" s="6">
        <f t="shared" si="7"/>
        <v>-1287.71</v>
      </c>
      <c r="M37" s="6">
        <f t="shared" si="7"/>
        <v>-1187.1799999999998</v>
      </c>
      <c r="N37" s="6">
        <f t="shared" si="6"/>
        <v>-816.82999999999743</v>
      </c>
    </row>
    <row r="38" spans="1:14" x14ac:dyDescent="0.25">
      <c r="A38" s="3" t="s">
        <v>45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 s="3" t="s">
        <v>46</v>
      </c>
      <c r="B39" s="5">
        <f>-0.01</f>
        <v>-0.01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>
        <f>(((((((((((B39)+(C39))+(D39))+(E39))+(F39))+(G39))+(H39))+(I39))+(J39))+(K39))+(L39))+(M39)</f>
        <v>-0.01</v>
      </c>
    </row>
    <row r="40" spans="1:14" x14ac:dyDescent="0.25">
      <c r="A40" s="3" t="s">
        <v>47</v>
      </c>
      <c r="B40" s="5">
        <f>0</f>
        <v>0</v>
      </c>
      <c r="C40" s="4"/>
      <c r="D40" s="4"/>
      <c r="E40" s="4"/>
      <c r="F40" s="4"/>
      <c r="G40" s="4"/>
      <c r="H40" s="4"/>
      <c r="I40" s="4"/>
      <c r="J40" s="5">
        <f>0</f>
        <v>0</v>
      </c>
      <c r="K40" s="4"/>
      <c r="L40" s="4"/>
      <c r="M40" s="5">
        <f>0</f>
        <v>0</v>
      </c>
      <c r="N40" s="5">
        <f>(((((((((((B40)+(C40))+(D40))+(E40))+(F40))+(G40))+(H40))+(I40))+(J40))+(K40))+(L40))+(M40)</f>
        <v>0</v>
      </c>
    </row>
    <row r="41" spans="1:14" x14ac:dyDescent="0.25">
      <c r="A41" s="3" t="s">
        <v>48</v>
      </c>
      <c r="B41" s="6">
        <f t="shared" ref="B41:M41" si="8">(B39)+(B40)</f>
        <v>-0.01</v>
      </c>
      <c r="C41" s="6">
        <f t="shared" si="8"/>
        <v>0</v>
      </c>
      <c r="D41" s="6">
        <f t="shared" si="8"/>
        <v>0</v>
      </c>
      <c r="E41" s="6">
        <f t="shared" si="8"/>
        <v>0</v>
      </c>
      <c r="F41" s="6">
        <f t="shared" si="8"/>
        <v>0</v>
      </c>
      <c r="G41" s="6">
        <f t="shared" si="8"/>
        <v>0</v>
      </c>
      <c r="H41" s="6">
        <f t="shared" si="8"/>
        <v>0</v>
      </c>
      <c r="I41" s="6">
        <f t="shared" si="8"/>
        <v>0</v>
      </c>
      <c r="J41" s="6">
        <f t="shared" si="8"/>
        <v>0</v>
      </c>
      <c r="K41" s="6">
        <f t="shared" si="8"/>
        <v>0</v>
      </c>
      <c r="L41" s="6">
        <f t="shared" si="8"/>
        <v>0</v>
      </c>
      <c r="M41" s="6">
        <f t="shared" si="8"/>
        <v>0</v>
      </c>
      <c r="N41" s="6">
        <f>(((((((((((B41)+(C41))+(D41))+(E41))+(F41))+(G41))+(H41))+(I41))+(J41))+(K41))+(L41))+(M41)</f>
        <v>-0.01</v>
      </c>
    </row>
    <row r="42" spans="1:14" x14ac:dyDescent="0.25">
      <c r="A42" s="3" t="s">
        <v>49</v>
      </c>
      <c r="B42" s="6">
        <f t="shared" ref="B42:M42" si="9">(B37)-(B41)</f>
        <v>1456.2</v>
      </c>
      <c r="C42" s="6">
        <f t="shared" si="9"/>
        <v>5805.08</v>
      </c>
      <c r="D42" s="6">
        <f t="shared" si="9"/>
        <v>6789.88</v>
      </c>
      <c r="E42" s="6">
        <f t="shared" si="9"/>
        <v>3006.16</v>
      </c>
      <c r="F42" s="6">
        <f t="shared" si="9"/>
        <v>-1257.8399999999999</v>
      </c>
      <c r="G42" s="6">
        <f t="shared" si="9"/>
        <v>-5455.9800000000005</v>
      </c>
      <c r="H42" s="6">
        <f t="shared" si="9"/>
        <v>-6444.3099999999995</v>
      </c>
      <c r="I42" s="6">
        <f t="shared" si="9"/>
        <v>-4406.41</v>
      </c>
      <c r="J42" s="6">
        <f t="shared" si="9"/>
        <v>-6.9700000000000273</v>
      </c>
      <c r="K42" s="6">
        <f t="shared" si="9"/>
        <v>2172.2600000000002</v>
      </c>
      <c r="L42" s="6">
        <f t="shared" si="9"/>
        <v>-1287.71</v>
      </c>
      <c r="M42" s="6">
        <f t="shared" si="9"/>
        <v>-1187.1799999999998</v>
      </c>
      <c r="N42" s="6">
        <f>(((((((((((B42)+(C42))+(D42))+(E42))+(F42))+(G42))+(H42))+(I42))+(J42))+(K42))+(L42))+(M42)</f>
        <v>-816.81999999999903</v>
      </c>
    </row>
    <row r="43" spans="1:14" x14ac:dyDescent="0.25">
      <c r="A43" s="3" t="s">
        <v>50</v>
      </c>
      <c r="B43" s="7">
        <f t="shared" ref="B43:M43" si="10">(B30)+(B42)</f>
        <v>1619.929999999996</v>
      </c>
      <c r="C43" s="7">
        <f t="shared" si="10"/>
        <v>9270.8900000000012</v>
      </c>
      <c r="D43" s="7">
        <f t="shared" si="10"/>
        <v>4858.5200000000032</v>
      </c>
      <c r="E43" s="7">
        <f t="shared" si="10"/>
        <v>3445.8500000000004</v>
      </c>
      <c r="F43" s="7">
        <f t="shared" si="10"/>
        <v>-2516.9299999999967</v>
      </c>
      <c r="G43" s="7">
        <f t="shared" si="10"/>
        <v>-7516.0700000000006</v>
      </c>
      <c r="H43" s="7">
        <f t="shared" si="10"/>
        <v>-7846.92</v>
      </c>
      <c r="I43" s="7">
        <f t="shared" si="10"/>
        <v>-2797.4699999999975</v>
      </c>
      <c r="J43" s="7">
        <f t="shared" si="10"/>
        <v>1084.4099999999992</v>
      </c>
      <c r="K43" s="7">
        <f t="shared" si="10"/>
        <v>4210.029999999997</v>
      </c>
      <c r="L43" s="7">
        <f t="shared" si="10"/>
        <v>-2954.1400000000003</v>
      </c>
      <c r="M43" s="7">
        <f t="shared" si="10"/>
        <v>-602.98999999999933</v>
      </c>
      <c r="N43" s="7">
        <f>(((((((((((B43)+(C43))+(D43))+(E43))+(F43))+(G43))+(H43))+(I43))+(J43))+(K43))+(L43))+(M43)</f>
        <v>255.11000000000467</v>
      </c>
    </row>
    <row r="44" spans="1:14" x14ac:dyDescent="0.2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mergeCells count="3">
    <mergeCell ref="A1:N1"/>
    <mergeCell ref="A2:N2"/>
    <mergeCell ref="A3:N3"/>
  </mergeCells>
  <printOptions horizontalCentered="1"/>
  <pageMargins left="0.2" right="0.2" top="0.2" bottom="0.2" header="0" footer="0"/>
  <pageSetup paperSize="1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9"/>
  <sheetViews>
    <sheetView topLeftCell="A7" workbookViewId="0">
      <selection sqref="A1:N1"/>
    </sheetView>
  </sheetViews>
  <sheetFormatPr defaultRowHeight="15" x14ac:dyDescent="0.25"/>
  <cols>
    <col min="1" max="1" width="37.85546875" style="8" customWidth="1"/>
    <col min="2" max="3" width="9.42578125" style="8" customWidth="1"/>
    <col min="4" max="4" width="10.28515625" style="8" customWidth="1"/>
    <col min="5" max="5" width="9.42578125" style="8" customWidth="1"/>
    <col min="6" max="9" width="10.28515625" style="8" customWidth="1"/>
    <col min="10" max="11" width="9.42578125" style="8" customWidth="1"/>
    <col min="12" max="13" width="10.28515625" style="8" customWidth="1"/>
    <col min="14" max="14" width="11.140625" style="8" customWidth="1"/>
    <col min="15" max="16384" width="9.140625" style="8"/>
  </cols>
  <sheetData>
    <row r="1" spans="1:14" ht="18" x14ac:dyDescent="0.2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x14ac:dyDescent="0.25">
      <c r="A2" s="9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1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>
        <f>(((((((((((B7)+(C7))+(D7))+(E7))+(F7))+(G7))+(H7))+(I7))+(J7))+(K7))+(L7))+(M7)</f>
        <v>0</v>
      </c>
    </row>
    <row r="8" spans="1:14" x14ac:dyDescent="0.25">
      <c r="A8" s="3" t="s">
        <v>148</v>
      </c>
      <c r="B8" s="5">
        <f>4011.2</f>
        <v>4011.2</v>
      </c>
      <c r="C8" s="5">
        <f>6643.67</f>
        <v>6643.67</v>
      </c>
      <c r="D8" s="5">
        <f>3931</f>
        <v>3931</v>
      </c>
      <c r="E8" s="5">
        <f>6484</f>
        <v>6484</v>
      </c>
      <c r="F8" s="5">
        <f>4795</f>
        <v>4795</v>
      </c>
      <c r="G8" s="5">
        <f>4571.8</f>
        <v>4571.8</v>
      </c>
      <c r="H8" s="5">
        <f>4230</f>
        <v>4230</v>
      </c>
      <c r="I8" s="5">
        <f>4550</f>
        <v>4550</v>
      </c>
      <c r="J8" s="5">
        <f>4233</f>
        <v>4233</v>
      </c>
      <c r="K8" s="5">
        <f>3973</f>
        <v>3973</v>
      </c>
      <c r="L8" s="5">
        <f>3800</f>
        <v>3800</v>
      </c>
      <c r="M8" s="5">
        <f>4568.4</f>
        <v>4568.3999999999996</v>
      </c>
      <c r="N8" s="5">
        <f>(((((((((((B8)+(C8))+(D8))+(E8))+(F8))+(G8))+(H8))+(I8))+(J8))+(K8))+(L8))+(M8)</f>
        <v>55791.07</v>
      </c>
    </row>
    <row r="9" spans="1:14" x14ac:dyDescent="0.25">
      <c r="A9" s="3" t="s">
        <v>147</v>
      </c>
      <c r="B9" s="5">
        <f>11966.85</f>
        <v>11966.85</v>
      </c>
      <c r="C9" s="5">
        <f>12668.51</f>
        <v>12668.51</v>
      </c>
      <c r="D9" s="5">
        <f>9818.31</f>
        <v>9818.31</v>
      </c>
      <c r="E9" s="5">
        <f>7578</f>
        <v>7578</v>
      </c>
      <c r="F9" s="5">
        <f>9697.55</f>
        <v>9697.5499999999993</v>
      </c>
      <c r="G9" s="5">
        <f>8863.75</f>
        <v>8863.75</v>
      </c>
      <c r="H9" s="5">
        <f>8212</f>
        <v>8212</v>
      </c>
      <c r="I9" s="5">
        <f>12430</f>
        <v>12430</v>
      </c>
      <c r="J9" s="5">
        <f>9280</f>
        <v>9280</v>
      </c>
      <c r="K9" s="5">
        <f>15429</f>
        <v>15429</v>
      </c>
      <c r="L9" s="5">
        <f>9402</f>
        <v>9402</v>
      </c>
      <c r="M9" s="5">
        <f>10440.66</f>
        <v>10440.66</v>
      </c>
      <c r="N9" s="5">
        <f>(((((((((((B9)+(C9))+(D9))+(E9))+(F9))+(G9))+(H9))+(I9))+(J9))+(K9))+(L9))+(M9)</f>
        <v>125786.63</v>
      </c>
    </row>
    <row r="10" spans="1:14" x14ac:dyDescent="0.25">
      <c r="A10" s="3" t="s">
        <v>146</v>
      </c>
      <c r="B10" s="4"/>
      <c r="C10" s="5">
        <f>118.7</f>
        <v>118.7</v>
      </c>
      <c r="D10" s="5">
        <f>113.23</f>
        <v>113.23</v>
      </c>
      <c r="E10" s="5">
        <f>65.81</f>
        <v>65.81</v>
      </c>
      <c r="F10" s="5">
        <f>94.35</f>
        <v>94.35</v>
      </c>
      <c r="G10" s="5">
        <f>160.32</f>
        <v>160.32</v>
      </c>
      <c r="H10" s="5">
        <f>120.72</f>
        <v>120.72</v>
      </c>
      <c r="I10" s="5">
        <f>73</f>
        <v>73</v>
      </c>
      <c r="J10" s="5">
        <f>221.34</f>
        <v>221.34</v>
      </c>
      <c r="K10" s="5">
        <f>142.7</f>
        <v>142.69999999999999</v>
      </c>
      <c r="L10" s="5">
        <f>66.51</f>
        <v>66.510000000000005</v>
      </c>
      <c r="M10" s="5">
        <f>215</f>
        <v>215</v>
      </c>
      <c r="N10" s="5">
        <f>(((((((((((B10)+(C10))+(D10))+(E10))+(F10))+(G10))+(H10))+(I10))+(J10))+(K10))+(L10))+(M10)</f>
        <v>1391.68</v>
      </c>
    </row>
    <row r="11" spans="1:14" x14ac:dyDescent="0.25">
      <c r="A11" s="3" t="s">
        <v>145</v>
      </c>
      <c r="B11" s="7">
        <f>(((B7)+(B8))+(B9))+(B10)</f>
        <v>15978.05</v>
      </c>
      <c r="C11" s="7">
        <f>(((C7)+(C8))+(C9))+(C10)</f>
        <v>19430.88</v>
      </c>
      <c r="D11" s="7">
        <f>(((D7)+(D8))+(D9))+(D10)</f>
        <v>13862.539999999999</v>
      </c>
      <c r="E11" s="7">
        <f>(((E7)+(E8))+(E9))+(E10)</f>
        <v>14127.81</v>
      </c>
      <c r="F11" s="7">
        <f>(((F7)+(F8))+(F9))+(F10)</f>
        <v>14586.9</v>
      </c>
      <c r="G11" s="7">
        <f>(((G7)+(G8))+(G9))+(G10)</f>
        <v>13595.869999999999</v>
      </c>
      <c r="H11" s="7">
        <f>(((H7)+(H8))+(H9))+(H10)</f>
        <v>12562.72</v>
      </c>
      <c r="I11" s="7">
        <f>(((I7)+(I8))+(I9))+(I10)</f>
        <v>17053</v>
      </c>
      <c r="J11" s="7">
        <f>(((J7)+(J8))+(J9))+(J10)</f>
        <v>13734.34</v>
      </c>
      <c r="K11" s="7">
        <f>(((K7)+(K8))+(K9))+(K10)</f>
        <v>19544.7</v>
      </c>
      <c r="L11" s="7">
        <f>(((L7)+(L8))+(L9))+(L10)</f>
        <v>13268.51</v>
      </c>
      <c r="M11" s="7">
        <f>(((M7)+(M8))+(M9))+(M10)</f>
        <v>15224.06</v>
      </c>
      <c r="N11" s="7">
        <f>(((((((((((B11)+(C11))+(D11))+(E11))+(F11))+(G11))+(H11))+(I11))+(J11))+(K11))+(L11))+(M11)</f>
        <v>182969.38</v>
      </c>
    </row>
    <row r="12" spans="1:14" x14ac:dyDescent="0.25">
      <c r="A12" s="3" t="s">
        <v>15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>
        <f>(((((((((((B12)+(C12))+(D12))+(E12))+(F12))+(G12))+(H12))+(I12))+(J12))+(K12))+(L12))+(M12)</f>
        <v>0</v>
      </c>
    </row>
    <row r="13" spans="1:14" x14ac:dyDescent="0.25">
      <c r="A13" s="3" t="s">
        <v>144</v>
      </c>
      <c r="B13" s="5">
        <f>11</f>
        <v>11</v>
      </c>
      <c r="C13" s="5">
        <f>5</f>
        <v>5</v>
      </c>
      <c r="D13" s="4"/>
      <c r="E13" s="5">
        <f>19</f>
        <v>19</v>
      </c>
      <c r="F13" s="5">
        <f>20</f>
        <v>20</v>
      </c>
      <c r="G13" s="4"/>
      <c r="H13" s="5">
        <f>20</f>
        <v>20</v>
      </c>
      <c r="I13" s="4"/>
      <c r="J13" s="4"/>
      <c r="K13" s="4"/>
      <c r="L13" s="4"/>
      <c r="M13" s="4"/>
      <c r="N13" s="5">
        <f>(((((((((((B13)+(C13))+(D13))+(E13))+(F13))+(G13))+(H13))+(I13))+(J13))+(K13))+(L13))+(M13)</f>
        <v>75</v>
      </c>
    </row>
    <row r="14" spans="1:14" x14ac:dyDescent="0.25">
      <c r="A14" s="3" t="s">
        <v>143</v>
      </c>
      <c r="B14" s="4"/>
      <c r="C14" s="4"/>
      <c r="D14" s="4"/>
      <c r="E14" s="4"/>
      <c r="F14" s="4"/>
      <c r="G14" s="4"/>
      <c r="H14" s="4"/>
      <c r="I14" s="4"/>
      <c r="J14" s="5">
        <f>200</f>
        <v>200</v>
      </c>
      <c r="K14" s="4"/>
      <c r="L14" s="4"/>
      <c r="M14" s="4"/>
      <c r="N14" s="5">
        <f>(((((((((((B14)+(C14))+(D14))+(E14))+(F14))+(G14))+(H14))+(I14))+(J14))+(K14))+(L14))+(M14)</f>
        <v>200</v>
      </c>
    </row>
    <row r="15" spans="1:14" x14ac:dyDescent="0.25">
      <c r="A15" s="3" t="s">
        <v>142</v>
      </c>
      <c r="B15" s="7">
        <f>((B12)+(B13))+(B14)</f>
        <v>11</v>
      </c>
      <c r="C15" s="7">
        <f>((C12)+(C13))+(C14)</f>
        <v>5</v>
      </c>
      <c r="D15" s="7">
        <f>((D12)+(D13))+(D14)</f>
        <v>0</v>
      </c>
      <c r="E15" s="7">
        <f>((E12)+(E13))+(E14)</f>
        <v>19</v>
      </c>
      <c r="F15" s="7">
        <f>((F12)+(F13))+(F14)</f>
        <v>20</v>
      </c>
      <c r="G15" s="7">
        <f>((G12)+(G13))+(G14)</f>
        <v>0</v>
      </c>
      <c r="H15" s="7">
        <f>((H12)+(H13))+(H14)</f>
        <v>20</v>
      </c>
      <c r="I15" s="7">
        <f>((I12)+(I13))+(I14)</f>
        <v>0</v>
      </c>
      <c r="J15" s="7">
        <f>((J12)+(J13))+(J14)</f>
        <v>200</v>
      </c>
      <c r="K15" s="7">
        <f>((K12)+(K13))+(K14)</f>
        <v>0</v>
      </c>
      <c r="L15" s="7">
        <f>((L12)+(L13))+(L14)</f>
        <v>0</v>
      </c>
      <c r="M15" s="7">
        <f>((M12)+(M13))+(M14)</f>
        <v>0</v>
      </c>
      <c r="N15" s="7">
        <f>(((((((((((B15)+(C15))+(D15))+(E15))+(F15))+(G15))+(H15))+(I15))+(J15))+(K15))+(L15))+(M15)</f>
        <v>275</v>
      </c>
    </row>
    <row r="16" spans="1:14" x14ac:dyDescent="0.25">
      <c r="A16" s="3" t="s">
        <v>16</v>
      </c>
      <c r="B16" s="4"/>
      <c r="C16" s="4"/>
      <c r="D16" s="4"/>
      <c r="E16" s="4"/>
      <c r="F16" s="4"/>
      <c r="G16" s="5">
        <f>146.08</f>
        <v>146.08000000000001</v>
      </c>
      <c r="H16" s="4"/>
      <c r="I16" s="4"/>
      <c r="J16" s="4"/>
      <c r="K16" s="4"/>
      <c r="L16" s="4"/>
      <c r="M16" s="4"/>
      <c r="N16" s="5">
        <f>(((((((((((B16)+(C16))+(D16))+(E16))+(F16))+(G16))+(H16))+(I16))+(J16))+(K16))+(L16))+(M16)</f>
        <v>146.08000000000001</v>
      </c>
    </row>
    <row r="17" spans="1:14" x14ac:dyDescent="0.25">
      <c r="A17" s="3" t="s">
        <v>141</v>
      </c>
      <c r="B17" s="5">
        <f>0.01</f>
        <v>0.01</v>
      </c>
      <c r="C17" s="5">
        <f>0.02</f>
        <v>0.02</v>
      </c>
      <c r="D17" s="5">
        <f>0.32</f>
        <v>0.32</v>
      </c>
      <c r="E17" s="5">
        <f>0.14</f>
        <v>0.14000000000000001</v>
      </c>
      <c r="F17" s="5">
        <f>0.16</f>
        <v>0.16</v>
      </c>
      <c r="G17" s="5">
        <f>0.13</f>
        <v>0.13</v>
      </c>
      <c r="H17" s="5">
        <f>0.07</f>
        <v>7.0000000000000007E-2</v>
      </c>
      <c r="I17" s="5">
        <f>0.02</f>
        <v>0.02</v>
      </c>
      <c r="J17" s="4"/>
      <c r="K17" s="4"/>
      <c r="L17" s="4"/>
      <c r="M17" s="5">
        <f>0.01</f>
        <v>0.01</v>
      </c>
      <c r="N17" s="5">
        <f>(((((((((((B17)+(C17))+(D17))+(E17))+(F17))+(G17))+(H17))+(I17))+(J17))+(K17))+(L17))+(M17)</f>
        <v>0.88000000000000012</v>
      </c>
    </row>
    <row r="18" spans="1:14" x14ac:dyDescent="0.25">
      <c r="A18" s="3" t="s">
        <v>140</v>
      </c>
      <c r="B18" s="4"/>
      <c r="C18" s="4"/>
      <c r="D18" s="5">
        <f>144.37</f>
        <v>144.37</v>
      </c>
      <c r="E18" s="5">
        <f>27.9</f>
        <v>27.9</v>
      </c>
      <c r="F18" s="5">
        <f>70.46</f>
        <v>70.459999999999994</v>
      </c>
      <c r="G18" s="5">
        <f>26.71</f>
        <v>26.71</v>
      </c>
      <c r="H18" s="4"/>
      <c r="I18" s="5">
        <f>87.13</f>
        <v>87.13</v>
      </c>
      <c r="J18" s="4"/>
      <c r="K18" s="5">
        <f>70.78</f>
        <v>70.78</v>
      </c>
      <c r="L18" s="5">
        <f>252.47</f>
        <v>252.47</v>
      </c>
      <c r="M18" s="5">
        <f>37.66</f>
        <v>37.659999999999997</v>
      </c>
      <c r="N18" s="5">
        <f>(((((((((((B18)+(C18))+(D18))+(E18))+(F18))+(G18))+(H18))+(I18))+(J18))+(K18))+(L18))+(M18)</f>
        <v>717.48</v>
      </c>
    </row>
    <row r="19" spans="1:14" x14ac:dyDescent="0.25">
      <c r="A19" s="3" t="s">
        <v>139</v>
      </c>
      <c r="B19" s="4"/>
      <c r="C19" s="4"/>
      <c r="D19" s="4"/>
      <c r="E19" s="4"/>
      <c r="F19" s="4"/>
      <c r="G19" s="4"/>
      <c r="H19" s="4"/>
      <c r="I19" s="4"/>
      <c r="J19" s="5">
        <f>1378</f>
        <v>1378</v>
      </c>
      <c r="K19" s="4"/>
      <c r="L19" s="5">
        <f>513</f>
        <v>513</v>
      </c>
      <c r="M19" s="4"/>
      <c r="N19" s="5">
        <f>(((((((((((B19)+(C19))+(D19))+(E19))+(F19))+(G19))+(H19))+(I19))+(J19))+(K19))+(L19))+(M19)</f>
        <v>1891</v>
      </c>
    </row>
    <row r="20" spans="1:14" x14ac:dyDescent="0.25">
      <c r="A20" s="3" t="s">
        <v>138</v>
      </c>
      <c r="B20" s="7">
        <f>(((B16)+(B17))+(B18))+(B19)</f>
        <v>0.01</v>
      </c>
      <c r="C20" s="7">
        <f>(((C16)+(C17))+(C18))+(C19)</f>
        <v>0.02</v>
      </c>
      <c r="D20" s="7">
        <f>(((D16)+(D17))+(D18))+(D19)</f>
        <v>144.69</v>
      </c>
      <c r="E20" s="7">
        <f>(((E16)+(E17))+(E18))+(E19)</f>
        <v>28.04</v>
      </c>
      <c r="F20" s="7">
        <f>(((F16)+(F17))+(F18))+(F19)</f>
        <v>70.61999999999999</v>
      </c>
      <c r="G20" s="7">
        <f>(((G16)+(G17))+(G18))+(G19)</f>
        <v>172.92000000000002</v>
      </c>
      <c r="H20" s="7">
        <f>(((H16)+(H17))+(H18))+(H19)</f>
        <v>7.0000000000000007E-2</v>
      </c>
      <c r="I20" s="7">
        <f>(((I16)+(I17))+(I18))+(I19)</f>
        <v>87.149999999999991</v>
      </c>
      <c r="J20" s="7">
        <f>(((J16)+(J17))+(J18))+(J19)</f>
        <v>1378</v>
      </c>
      <c r="K20" s="7">
        <f>(((K16)+(K17))+(K18))+(K19)</f>
        <v>70.78</v>
      </c>
      <c r="L20" s="7">
        <f>(((L16)+(L17))+(L18))+(L19)</f>
        <v>765.47</v>
      </c>
      <c r="M20" s="7">
        <f>(((M16)+(M17))+(M18))+(M19)</f>
        <v>37.669999999999995</v>
      </c>
      <c r="N20" s="7">
        <f>(((((((((((B20)+(C20))+(D20))+(E20))+(F20))+(G20))+(H20))+(I20))+(J20))+(K20))+(L20))+(M20)</f>
        <v>2755.44</v>
      </c>
    </row>
    <row r="21" spans="1:14" x14ac:dyDescent="0.25">
      <c r="A21" s="3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>
        <f>(((((((((((B21)+(C21))+(D21))+(E21))+(F21))+(G21))+(H21))+(I21))+(J21))+(K21))+(L21))+(M21)</f>
        <v>0</v>
      </c>
    </row>
    <row r="22" spans="1:14" x14ac:dyDescent="0.25">
      <c r="A22" s="3" t="s">
        <v>137</v>
      </c>
      <c r="B22" s="4"/>
      <c r="C22" s="4"/>
      <c r="D22" s="4"/>
      <c r="E22" s="4"/>
      <c r="F22" s="4"/>
      <c r="G22" s="4"/>
      <c r="H22" s="4"/>
      <c r="I22" s="5">
        <f>188.4</f>
        <v>188.4</v>
      </c>
      <c r="J22" s="4"/>
      <c r="K22" s="4"/>
      <c r="L22" s="4"/>
      <c r="M22" s="4"/>
      <c r="N22" s="5">
        <f>(((((((((((B22)+(C22))+(D22))+(E22))+(F22))+(G22))+(H22))+(I22))+(J22))+(K22))+(L22))+(M22)</f>
        <v>188.4</v>
      </c>
    </row>
    <row r="23" spans="1:14" x14ac:dyDescent="0.25">
      <c r="A23" s="3" t="s">
        <v>136</v>
      </c>
      <c r="B23" s="4"/>
      <c r="C23" s="5">
        <f>340.95</f>
        <v>340.95</v>
      </c>
      <c r="D23" s="4"/>
      <c r="E23" s="5">
        <f>1061</f>
        <v>1061</v>
      </c>
      <c r="F23" s="5">
        <f>316</f>
        <v>316</v>
      </c>
      <c r="G23" s="5">
        <f>192</f>
        <v>192</v>
      </c>
      <c r="H23" s="5">
        <f>300</f>
        <v>300</v>
      </c>
      <c r="I23" s="5">
        <f>395</f>
        <v>395</v>
      </c>
      <c r="J23" s="4"/>
      <c r="K23" s="4"/>
      <c r="L23" s="4"/>
      <c r="M23" s="4"/>
      <c r="N23" s="5">
        <f>(((((((((((B23)+(C23))+(D23))+(E23))+(F23))+(G23))+(H23))+(I23))+(J23))+(K23))+(L23))+(M23)</f>
        <v>2604.9499999999998</v>
      </c>
    </row>
    <row r="24" spans="1:14" x14ac:dyDescent="0.25">
      <c r="A24" s="3" t="s">
        <v>135</v>
      </c>
      <c r="B24" s="4"/>
      <c r="C24" s="4"/>
      <c r="D24" s="4"/>
      <c r="E24" s="4"/>
      <c r="F24" s="4"/>
      <c r="G24" s="4"/>
      <c r="H24" s="4"/>
      <c r="I24" s="4"/>
      <c r="J24" s="5">
        <f>40</f>
        <v>40</v>
      </c>
      <c r="K24" s="4"/>
      <c r="L24" s="4"/>
      <c r="M24" s="4"/>
      <c r="N24" s="5">
        <f>(((((((((((B24)+(C24))+(D24))+(E24))+(F24))+(G24))+(H24))+(I24))+(J24))+(K24))+(L24))+(M24)</f>
        <v>40</v>
      </c>
    </row>
    <row r="25" spans="1:14" x14ac:dyDescent="0.25">
      <c r="A25" s="3" t="s">
        <v>134</v>
      </c>
      <c r="B25" s="5">
        <f>283</f>
        <v>283</v>
      </c>
      <c r="C25" s="4"/>
      <c r="D25" s="5">
        <f>-89.31</f>
        <v>-89.31</v>
      </c>
      <c r="E25" s="4"/>
      <c r="F25" s="4"/>
      <c r="G25" s="4"/>
      <c r="H25" s="4"/>
      <c r="I25" s="4"/>
      <c r="J25" s="4"/>
      <c r="K25" s="4"/>
      <c r="L25" s="4"/>
      <c r="M25" s="4"/>
      <c r="N25" s="5">
        <f>(((((((((((B25)+(C25))+(D25))+(E25))+(F25))+(G25))+(H25))+(I25))+(J25))+(K25))+(L25))+(M25)</f>
        <v>193.69</v>
      </c>
    </row>
    <row r="26" spans="1:14" x14ac:dyDescent="0.25">
      <c r="A26" s="3" t="s">
        <v>133</v>
      </c>
      <c r="B26" s="7">
        <f>((((B21)+(B22))+(B23))+(B24))+(B25)</f>
        <v>283</v>
      </c>
      <c r="C26" s="7">
        <f>((((C21)+(C22))+(C23))+(C24))+(C25)</f>
        <v>340.95</v>
      </c>
      <c r="D26" s="7">
        <f>((((D21)+(D22))+(D23))+(D24))+(D25)</f>
        <v>-89.31</v>
      </c>
      <c r="E26" s="7">
        <f>((((E21)+(E22))+(E23))+(E24))+(E25)</f>
        <v>1061</v>
      </c>
      <c r="F26" s="7">
        <f>((((F21)+(F22))+(F23))+(F24))+(F25)</f>
        <v>316</v>
      </c>
      <c r="G26" s="7">
        <f>((((G21)+(G22))+(G23))+(G24))+(G25)</f>
        <v>192</v>
      </c>
      <c r="H26" s="7">
        <f>((((H21)+(H22))+(H23))+(H24))+(H25)</f>
        <v>300</v>
      </c>
      <c r="I26" s="7">
        <f>((((I21)+(I22))+(I23))+(I24))+(I25)</f>
        <v>583.4</v>
      </c>
      <c r="J26" s="7">
        <f>((((J21)+(J22))+(J23))+(J24))+(J25)</f>
        <v>40</v>
      </c>
      <c r="K26" s="7">
        <f>((((K21)+(K22))+(K23))+(K24))+(K25)</f>
        <v>0</v>
      </c>
      <c r="L26" s="7">
        <f>((((L21)+(L22))+(L23))+(L24))+(L25)</f>
        <v>0</v>
      </c>
      <c r="M26" s="7">
        <f>((((M21)+(M22))+(M23))+(M24))+(M25)</f>
        <v>0</v>
      </c>
      <c r="N26" s="7">
        <f>(((((((((((B26)+(C26))+(D26))+(E26))+(F26))+(G26))+(H26))+(I26))+(J26))+(K26))+(L26))+(M26)</f>
        <v>3027.0400000000004</v>
      </c>
    </row>
    <row r="27" spans="1:14" x14ac:dyDescent="0.25">
      <c r="A27" s="3" t="s">
        <v>18</v>
      </c>
      <c r="B27" s="5">
        <f>517</f>
        <v>517</v>
      </c>
      <c r="C27" s="5">
        <f>506.26</f>
        <v>506.26</v>
      </c>
      <c r="D27" s="5">
        <f>377.08</f>
        <v>377.08</v>
      </c>
      <c r="E27" s="5">
        <f>407.7</f>
        <v>407.7</v>
      </c>
      <c r="F27" s="5">
        <f>493</f>
        <v>493</v>
      </c>
      <c r="G27" s="5">
        <f>437</f>
        <v>437</v>
      </c>
      <c r="H27" s="5">
        <f>458</f>
        <v>458</v>
      </c>
      <c r="I27" s="5">
        <f>319</f>
        <v>319</v>
      </c>
      <c r="J27" s="5">
        <f>384.66</f>
        <v>384.66</v>
      </c>
      <c r="K27" s="5">
        <f>369</f>
        <v>369</v>
      </c>
      <c r="L27" s="5">
        <f>927.3</f>
        <v>927.3</v>
      </c>
      <c r="M27" s="5">
        <f>642.91</f>
        <v>642.91</v>
      </c>
      <c r="N27" s="5">
        <f>(((((((((((B27)+(C27))+(D27))+(E27))+(F27))+(G27))+(H27))+(I27))+(J27))+(K27))+(L27))+(M27)</f>
        <v>5838.91</v>
      </c>
    </row>
    <row r="28" spans="1:14" x14ac:dyDescent="0.25">
      <c r="A28" s="3" t="s">
        <v>19</v>
      </c>
      <c r="B28" s="7">
        <f>((((B11)+(B15))+(B20))+(B26))+(B27)</f>
        <v>16789.059999999998</v>
      </c>
      <c r="C28" s="7">
        <f>((((C11)+(C15))+(C20))+(C26))+(C27)</f>
        <v>20283.11</v>
      </c>
      <c r="D28" s="7">
        <f>((((D11)+(D15))+(D20))+(D26))+(D27)</f>
        <v>14295</v>
      </c>
      <c r="E28" s="7">
        <f>((((E11)+(E15))+(E20))+(E26))+(E27)</f>
        <v>15643.550000000001</v>
      </c>
      <c r="F28" s="7">
        <f>((((F11)+(F15))+(F20))+(F26))+(F27)</f>
        <v>15486.52</v>
      </c>
      <c r="G28" s="7">
        <f>((((G11)+(G15))+(G20))+(G26))+(G27)</f>
        <v>14397.789999999999</v>
      </c>
      <c r="H28" s="7">
        <f>((((H11)+(H15))+(H20))+(H26))+(H27)</f>
        <v>13340.789999999999</v>
      </c>
      <c r="I28" s="7">
        <f>((((I11)+(I15))+(I20))+(I26))+(I27)</f>
        <v>18042.550000000003</v>
      </c>
      <c r="J28" s="7">
        <f>((((J11)+(J15))+(J20))+(J26))+(J27)</f>
        <v>15737</v>
      </c>
      <c r="K28" s="7">
        <f>((((K11)+(K15))+(K20))+(K26))+(K27)</f>
        <v>19984.48</v>
      </c>
      <c r="L28" s="7">
        <f>((((L11)+(L15))+(L20))+(L26))+(L27)</f>
        <v>14961.279999999999</v>
      </c>
      <c r="M28" s="7">
        <f>((((M11)+(M15))+(M20))+(M26))+(M27)</f>
        <v>15904.64</v>
      </c>
      <c r="N28" s="7">
        <f>(((((((((((B28)+(C28))+(D28))+(E28))+(F28))+(G28))+(H28))+(I28))+(J28))+(K28))+(L28))+(M28)</f>
        <v>194865.77000000002</v>
      </c>
    </row>
    <row r="29" spans="1:14" x14ac:dyDescent="0.25">
      <c r="A29" s="3" t="s">
        <v>20</v>
      </c>
      <c r="B29" s="7">
        <f>(B28)-(0)</f>
        <v>16789.059999999998</v>
      </c>
      <c r="C29" s="7">
        <f>(C28)-(0)</f>
        <v>20283.11</v>
      </c>
      <c r="D29" s="7">
        <f>(D28)-(0)</f>
        <v>14295</v>
      </c>
      <c r="E29" s="7">
        <f>(E28)-(0)</f>
        <v>15643.550000000001</v>
      </c>
      <c r="F29" s="7">
        <f>(F28)-(0)</f>
        <v>15486.52</v>
      </c>
      <c r="G29" s="7">
        <f>(G28)-(0)</f>
        <v>14397.789999999999</v>
      </c>
      <c r="H29" s="7">
        <f>(H28)-(0)</f>
        <v>13340.789999999999</v>
      </c>
      <c r="I29" s="7">
        <f>(I28)-(0)</f>
        <v>18042.550000000003</v>
      </c>
      <c r="J29" s="7">
        <f>(J28)-(0)</f>
        <v>15737</v>
      </c>
      <c r="K29" s="7">
        <f>(K28)-(0)</f>
        <v>19984.48</v>
      </c>
      <c r="L29" s="7">
        <f>(L28)-(0)</f>
        <v>14961.279999999999</v>
      </c>
      <c r="M29" s="7">
        <f>(M28)-(0)</f>
        <v>15904.64</v>
      </c>
      <c r="N29" s="7">
        <f>(((((((((((B29)+(C29))+(D29))+(E29))+(F29))+(G29))+(H29))+(I29))+(J29))+(K29))+(L29))+(M29)</f>
        <v>194865.77000000002</v>
      </c>
    </row>
    <row r="30" spans="1:14" x14ac:dyDescent="0.25">
      <c r="A30" s="3" t="s">
        <v>21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 s="3" t="s">
        <v>22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5">
        <f>0</f>
        <v>0</v>
      </c>
      <c r="N31" s="5">
        <f>(((((((((((B31)+(C31))+(D31))+(E31))+(F31))+(G31))+(H31))+(I31))+(J31))+(K31))+(L31))+(M31)</f>
        <v>0</v>
      </c>
    </row>
    <row r="32" spans="1:14" x14ac:dyDescent="0.25">
      <c r="A32" s="3" t="s">
        <v>23</v>
      </c>
      <c r="B32" s="4"/>
      <c r="C32" s="4"/>
      <c r="D32" s="4"/>
      <c r="E32" s="5">
        <f>-10</f>
        <v>-10</v>
      </c>
      <c r="F32" s="4"/>
      <c r="G32" s="4"/>
      <c r="H32" s="4"/>
      <c r="I32" s="4"/>
      <c r="J32" s="4"/>
      <c r="K32" s="4"/>
      <c r="L32" s="4"/>
      <c r="M32" s="4"/>
      <c r="N32" s="5">
        <f>(((((((((((B32)+(C32))+(D32))+(E32))+(F32))+(G32))+(H32))+(I32))+(J32))+(K32))+(L32))+(M32)</f>
        <v>-10</v>
      </c>
    </row>
    <row r="33" spans="1:14" x14ac:dyDescent="0.25">
      <c r="A33" s="3" t="s">
        <v>132</v>
      </c>
      <c r="B33" s="5">
        <f>292.39</f>
        <v>292.39</v>
      </c>
      <c r="C33" s="5">
        <f>511.88</f>
        <v>511.88</v>
      </c>
      <c r="D33" s="5">
        <f>1617</f>
        <v>1617</v>
      </c>
      <c r="E33" s="5">
        <f>510.94</f>
        <v>510.94</v>
      </c>
      <c r="F33" s="5">
        <f>155</f>
        <v>155</v>
      </c>
      <c r="G33" s="5">
        <f>1041.31</f>
        <v>1041.31</v>
      </c>
      <c r="H33" s="5">
        <f>-158.87</f>
        <v>-158.87</v>
      </c>
      <c r="I33" s="5">
        <f>25</f>
        <v>25</v>
      </c>
      <c r="J33" s="5">
        <f>63</f>
        <v>63</v>
      </c>
      <c r="K33" s="5">
        <f>448.89</f>
        <v>448.89</v>
      </c>
      <c r="L33" s="5">
        <f>15</f>
        <v>15</v>
      </c>
      <c r="M33" s="4"/>
      <c r="N33" s="5">
        <f>(((((((((((B33)+(C33))+(D33))+(E33))+(F33))+(G33))+(H33))+(I33))+(J33))+(K33))+(L33))+(M33)</f>
        <v>4521.5400000000009</v>
      </c>
    </row>
    <row r="34" spans="1:14" x14ac:dyDescent="0.25">
      <c r="A34" s="3" t="s">
        <v>131</v>
      </c>
      <c r="B34" s="5">
        <f>350</f>
        <v>350</v>
      </c>
      <c r="C34" s="5">
        <f>350</f>
        <v>350</v>
      </c>
      <c r="D34" s="5">
        <f>350</f>
        <v>350</v>
      </c>
      <c r="E34" s="5">
        <f>500</f>
        <v>500</v>
      </c>
      <c r="F34" s="5">
        <f>500</f>
        <v>500</v>
      </c>
      <c r="G34" s="5">
        <f>500</f>
        <v>500</v>
      </c>
      <c r="H34" s="5">
        <f>500</f>
        <v>500</v>
      </c>
      <c r="I34" s="5">
        <f>500</f>
        <v>500</v>
      </c>
      <c r="J34" s="5">
        <f>50</f>
        <v>50</v>
      </c>
      <c r="K34" s="5">
        <f>500</f>
        <v>500</v>
      </c>
      <c r="L34" s="5">
        <f>500</f>
        <v>500</v>
      </c>
      <c r="M34" s="4"/>
      <c r="N34" s="5">
        <f>(((((((((((B34)+(C34))+(D34))+(E34))+(F34))+(G34))+(H34))+(I34))+(J34))+(K34))+(L34))+(M34)</f>
        <v>4600</v>
      </c>
    </row>
    <row r="35" spans="1:14" x14ac:dyDescent="0.25">
      <c r="A35" s="3" t="s">
        <v>130</v>
      </c>
      <c r="B35" s="5">
        <f>131.77</f>
        <v>131.77000000000001</v>
      </c>
      <c r="C35" s="5">
        <f>123.66</f>
        <v>123.66</v>
      </c>
      <c r="D35" s="5">
        <f>115.37</f>
        <v>115.37</v>
      </c>
      <c r="E35" s="5">
        <f>89.22</f>
        <v>89.22</v>
      </c>
      <c r="F35" s="5">
        <f>94.7</f>
        <v>94.7</v>
      </c>
      <c r="G35" s="5">
        <f>93.6</f>
        <v>93.6</v>
      </c>
      <c r="H35" s="5">
        <f>91.12</f>
        <v>91.12</v>
      </c>
      <c r="I35" s="5">
        <f>77.49</f>
        <v>77.489999999999995</v>
      </c>
      <c r="J35" s="5">
        <f>75.62</f>
        <v>75.62</v>
      </c>
      <c r="K35" s="5">
        <f>107.53</f>
        <v>107.53</v>
      </c>
      <c r="L35" s="5">
        <f>109.4</f>
        <v>109.4</v>
      </c>
      <c r="M35" s="5">
        <f>89.54</f>
        <v>89.54</v>
      </c>
      <c r="N35" s="5">
        <f>(((((((((((B35)+(C35))+(D35))+(E35))+(F35))+(G35))+(H35))+(I35))+(J35))+(K35))+(L35))+(M35)</f>
        <v>1199.02</v>
      </c>
    </row>
    <row r="36" spans="1:14" x14ac:dyDescent="0.25">
      <c r="A36" s="3" t="s">
        <v>129</v>
      </c>
      <c r="B36" s="5">
        <f>62.15</f>
        <v>62.15</v>
      </c>
      <c r="C36" s="5">
        <f>58.34</f>
        <v>58.34</v>
      </c>
      <c r="D36" s="5">
        <f>122.66</f>
        <v>122.66</v>
      </c>
      <c r="E36" s="5">
        <f>180.99</f>
        <v>180.99</v>
      </c>
      <c r="F36" s="5">
        <f>126.35</f>
        <v>126.35</v>
      </c>
      <c r="G36" s="5">
        <f>100.06</f>
        <v>100.06</v>
      </c>
      <c r="H36" s="5">
        <f>79.19</f>
        <v>79.19</v>
      </c>
      <c r="I36" s="5">
        <f>91.36</f>
        <v>91.36</v>
      </c>
      <c r="J36" s="5">
        <f>93.3</f>
        <v>93.3</v>
      </c>
      <c r="K36" s="5">
        <f>96.06</f>
        <v>96.06</v>
      </c>
      <c r="L36" s="5">
        <f>77.76</f>
        <v>77.760000000000005</v>
      </c>
      <c r="M36" s="5">
        <f>50.89</f>
        <v>50.89</v>
      </c>
      <c r="N36" s="5">
        <f>(((((((((((B36)+(C36))+(D36))+(E36))+(F36))+(G36))+(H36))+(I36))+(J36))+(K36))+(L36))+(M36)</f>
        <v>1139.1100000000001</v>
      </c>
    </row>
    <row r="37" spans="1:14" x14ac:dyDescent="0.25">
      <c r="A37" s="3" t="s">
        <v>128</v>
      </c>
      <c r="B37" s="4"/>
      <c r="C37" s="4"/>
      <c r="D37" s="4"/>
      <c r="E37" s="4"/>
      <c r="F37" s="4"/>
      <c r="G37" s="5">
        <f>49.95</f>
        <v>49.95</v>
      </c>
      <c r="H37" s="4"/>
      <c r="I37" s="4"/>
      <c r="J37" s="4"/>
      <c r="K37" s="4"/>
      <c r="L37" s="4"/>
      <c r="M37" s="4"/>
      <c r="N37" s="5">
        <f>(((((((((((B37)+(C37))+(D37))+(E37))+(F37))+(G37))+(H37))+(I37))+(J37))+(K37))+(L37))+(M37)</f>
        <v>49.95</v>
      </c>
    </row>
    <row r="38" spans="1:14" x14ac:dyDescent="0.25">
      <c r="A38" s="3" t="s">
        <v>127</v>
      </c>
      <c r="B38" s="5">
        <f>192.25</f>
        <v>192.25</v>
      </c>
      <c r="C38" s="5">
        <f>192.25</f>
        <v>192.25</v>
      </c>
      <c r="D38" s="5">
        <f>192.25</f>
        <v>192.25</v>
      </c>
      <c r="E38" s="5">
        <f>192.25</f>
        <v>192.25</v>
      </c>
      <c r="F38" s="5">
        <f>192.25</f>
        <v>192.25</v>
      </c>
      <c r="G38" s="5">
        <f>192.25</f>
        <v>192.25</v>
      </c>
      <c r="H38" s="5">
        <f>192.25</f>
        <v>192.25</v>
      </c>
      <c r="I38" s="5">
        <f>192.25</f>
        <v>192.25</v>
      </c>
      <c r="J38" s="5">
        <f>191.88</f>
        <v>191.88</v>
      </c>
      <c r="K38" s="5">
        <f>191.92</f>
        <v>191.92</v>
      </c>
      <c r="L38" s="5">
        <f>191.92</f>
        <v>191.92</v>
      </c>
      <c r="M38" s="5">
        <f>191.92</f>
        <v>191.92</v>
      </c>
      <c r="N38" s="5">
        <f>(((((((((((B38)+(C38))+(D38))+(E38))+(F38))+(G38))+(H38))+(I38))+(J38))+(K38))+(L38))+(M38)</f>
        <v>2305.6400000000003</v>
      </c>
    </row>
    <row r="39" spans="1:14" x14ac:dyDescent="0.25">
      <c r="A39" s="3" t="s">
        <v>126</v>
      </c>
      <c r="B39" s="5">
        <f>332.23</f>
        <v>332.23</v>
      </c>
      <c r="C39" s="5">
        <f>201.73</f>
        <v>201.73</v>
      </c>
      <c r="D39" s="5">
        <f>198.45</f>
        <v>198.45</v>
      </c>
      <c r="E39" s="5">
        <f>198.64</f>
        <v>198.64</v>
      </c>
      <c r="F39" s="5">
        <f>199.21</f>
        <v>199.21</v>
      </c>
      <c r="G39" s="5">
        <f>170.28</f>
        <v>170.28</v>
      </c>
      <c r="H39" s="5">
        <f>190.14</f>
        <v>190.14</v>
      </c>
      <c r="I39" s="5">
        <f>185.91</f>
        <v>185.91</v>
      </c>
      <c r="J39" s="5">
        <f>175.67</f>
        <v>175.67</v>
      </c>
      <c r="K39" s="5">
        <f>50.44</f>
        <v>50.44</v>
      </c>
      <c r="L39" s="5">
        <f>47.87</f>
        <v>47.87</v>
      </c>
      <c r="M39" s="5">
        <f>43.19</f>
        <v>43.19</v>
      </c>
      <c r="N39" s="5">
        <f>(((((((((((B39)+(C39))+(D39))+(E39))+(F39))+(G39))+(H39))+(I39))+(J39))+(K39))+(L39))+(M39)</f>
        <v>1993.76</v>
      </c>
    </row>
    <row r="40" spans="1:14" x14ac:dyDescent="0.25">
      <c r="A40" s="3" t="s">
        <v>125</v>
      </c>
      <c r="B40" s="5">
        <f>551.48</f>
        <v>551.48</v>
      </c>
      <c r="C40" s="5">
        <f>201.73</f>
        <v>201.73</v>
      </c>
      <c r="D40" s="5">
        <f>659.18</f>
        <v>659.18</v>
      </c>
      <c r="E40" s="5">
        <f>202.63</f>
        <v>202.63</v>
      </c>
      <c r="F40" s="5">
        <f>612.95</f>
        <v>612.95000000000005</v>
      </c>
      <c r="G40" s="5">
        <f>190</f>
        <v>190</v>
      </c>
      <c r="H40" s="5">
        <f>296.11</f>
        <v>296.11</v>
      </c>
      <c r="I40" s="5">
        <f>356.42</f>
        <v>356.42</v>
      </c>
      <c r="J40" s="5">
        <f>575.68</f>
        <v>575.67999999999995</v>
      </c>
      <c r="K40" s="5">
        <f>119.54</f>
        <v>119.54</v>
      </c>
      <c r="L40" s="5">
        <f>337.77</f>
        <v>337.77</v>
      </c>
      <c r="M40" s="5">
        <f>642.96</f>
        <v>642.96</v>
      </c>
      <c r="N40" s="5">
        <f>(((((((((((B40)+(C40))+(D40))+(E40))+(F40))+(G40))+(H40))+(I40))+(J40))+(K40))+(L40))+(M40)</f>
        <v>4746.45</v>
      </c>
    </row>
    <row r="41" spans="1:14" x14ac:dyDescent="0.25">
      <c r="A41" s="3" t="s">
        <v>124</v>
      </c>
      <c r="B41" s="5">
        <f>72.38</f>
        <v>72.38</v>
      </c>
      <c r="C41" s="4"/>
      <c r="D41" s="5">
        <f>119.58</f>
        <v>119.58</v>
      </c>
      <c r="E41" s="5">
        <f>120.86</f>
        <v>120.86</v>
      </c>
      <c r="F41" s="5">
        <f>117.95</f>
        <v>117.95</v>
      </c>
      <c r="G41" s="5">
        <f>122.81</f>
        <v>122.81</v>
      </c>
      <c r="H41" s="5">
        <f>21.11</f>
        <v>21.11</v>
      </c>
      <c r="I41" s="5">
        <f>80.86</f>
        <v>80.86</v>
      </c>
      <c r="J41" s="5">
        <f>57.27</f>
        <v>57.27</v>
      </c>
      <c r="K41" s="5">
        <f>244.47</f>
        <v>244.47</v>
      </c>
      <c r="L41" s="5">
        <f>184.29</f>
        <v>184.29</v>
      </c>
      <c r="M41" s="5">
        <f>18.58</f>
        <v>18.579999999999998</v>
      </c>
      <c r="N41" s="5">
        <f>(((((((((((B41)+(C41))+(D41))+(E41))+(F41))+(G41))+(H41))+(I41))+(J41))+(K41))+(L41))+(M41)</f>
        <v>1160.1599999999999</v>
      </c>
    </row>
    <row r="42" spans="1:14" x14ac:dyDescent="0.25">
      <c r="A42" s="3" t="s">
        <v>123</v>
      </c>
      <c r="B42" s="4"/>
      <c r="C42" s="4"/>
      <c r="D42" s="5">
        <f>169.82</f>
        <v>169.82</v>
      </c>
      <c r="E42" s="4"/>
      <c r="F42" s="5">
        <f>208.99</f>
        <v>208.99</v>
      </c>
      <c r="G42" s="5">
        <f>163</f>
        <v>163</v>
      </c>
      <c r="H42" s="5">
        <f>208.99</f>
        <v>208.99</v>
      </c>
      <c r="I42" s="4"/>
      <c r="J42" s="4"/>
      <c r="K42" s="5">
        <f>566.99</f>
        <v>566.99</v>
      </c>
      <c r="L42" s="4"/>
      <c r="M42" s="4"/>
      <c r="N42" s="5">
        <f>(((((((((((B42)+(C42))+(D42))+(E42))+(F42))+(G42))+(H42))+(I42))+(J42))+(K42))+(L42))+(M42)</f>
        <v>1317.79</v>
      </c>
    </row>
    <row r="43" spans="1:14" x14ac:dyDescent="0.25">
      <c r="A43" s="3" t="s">
        <v>122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>
        <f>(((((((((((B43)+(C43))+(D43))+(E43))+(F43))+(G43))+(H43))+(I43))+(J43))+(K43))+(L43))+(M43)</f>
        <v>0</v>
      </c>
    </row>
    <row r="44" spans="1:14" x14ac:dyDescent="0.25">
      <c r="A44" s="3" t="s">
        <v>121</v>
      </c>
      <c r="B44" s="4"/>
      <c r="C44" s="5">
        <f>234.87</f>
        <v>234.87</v>
      </c>
      <c r="D44" s="4"/>
      <c r="E44" s="4"/>
      <c r="F44" s="5">
        <f>48.26</f>
        <v>48.26</v>
      </c>
      <c r="G44" s="4"/>
      <c r="H44" s="4"/>
      <c r="I44" s="4"/>
      <c r="J44" s="4"/>
      <c r="K44" s="4"/>
      <c r="L44" s="4"/>
      <c r="M44" s="4"/>
      <c r="N44" s="5">
        <f>(((((((((((B44)+(C44))+(D44))+(E44))+(F44))+(G44))+(H44))+(I44))+(J44))+(K44))+(L44))+(M44)</f>
        <v>283.13</v>
      </c>
    </row>
    <row r="45" spans="1:14" x14ac:dyDescent="0.25">
      <c r="A45" s="3" t="s">
        <v>120</v>
      </c>
      <c r="B45" s="5">
        <f>48.26</f>
        <v>48.26</v>
      </c>
      <c r="C45" s="4"/>
      <c r="D45" s="5">
        <f>48.26</f>
        <v>48.26</v>
      </c>
      <c r="E45" s="5">
        <f>48.26</f>
        <v>48.26</v>
      </c>
      <c r="F45" s="5">
        <f>48.26</f>
        <v>48.26</v>
      </c>
      <c r="G45" s="5">
        <f>48.26</f>
        <v>48.26</v>
      </c>
      <c r="H45" s="5">
        <f>48.26</f>
        <v>48.26</v>
      </c>
      <c r="I45" s="5">
        <f>48.26</f>
        <v>48.26</v>
      </c>
      <c r="J45" s="5">
        <f>48.26</f>
        <v>48.26</v>
      </c>
      <c r="K45" s="5">
        <f>48.26</f>
        <v>48.26</v>
      </c>
      <c r="L45" s="5">
        <f>48.26</f>
        <v>48.26</v>
      </c>
      <c r="M45" s="5">
        <f>48.26</f>
        <v>48.26</v>
      </c>
      <c r="N45" s="5">
        <f>(((((((((((B45)+(C45))+(D45))+(E45))+(F45))+(G45))+(H45))+(I45))+(J45))+(K45))+(L45))+(M45)</f>
        <v>530.86</v>
      </c>
    </row>
    <row r="46" spans="1:14" x14ac:dyDescent="0.25">
      <c r="A46" s="3" t="s">
        <v>119</v>
      </c>
      <c r="B46" s="4"/>
      <c r="C46" s="4"/>
      <c r="D46" s="4"/>
      <c r="E46" s="4"/>
      <c r="F46" s="5">
        <f>26.81</f>
        <v>26.81</v>
      </c>
      <c r="G46" s="4"/>
      <c r="H46" s="4"/>
      <c r="I46" s="4"/>
      <c r="J46" s="4"/>
      <c r="K46" s="4"/>
      <c r="L46" s="4"/>
      <c r="M46" s="4"/>
      <c r="N46" s="5">
        <f>(((((((((((B46)+(C46))+(D46))+(E46))+(F46))+(G46))+(H46))+(I46))+(J46))+(K46))+(L46))+(M46)</f>
        <v>26.81</v>
      </c>
    </row>
    <row r="47" spans="1:14" x14ac:dyDescent="0.25">
      <c r="A47" s="3" t="s">
        <v>118</v>
      </c>
      <c r="B47" s="5">
        <f>241.02</f>
        <v>241.02</v>
      </c>
      <c r="C47" s="5">
        <f>243.33</f>
        <v>243.33</v>
      </c>
      <c r="D47" s="5">
        <f>246.42</f>
        <v>246.42</v>
      </c>
      <c r="E47" s="4"/>
      <c r="F47" s="5">
        <f>345.75</f>
        <v>345.75</v>
      </c>
      <c r="G47" s="5">
        <f>250.34</f>
        <v>250.34</v>
      </c>
      <c r="H47" s="5">
        <f>250.22</f>
        <v>250.22</v>
      </c>
      <c r="I47" s="5">
        <f>250.14</f>
        <v>250.14</v>
      </c>
      <c r="J47" s="5">
        <f>250.14</f>
        <v>250.14</v>
      </c>
      <c r="K47" s="5">
        <f>253.44</f>
        <v>253.44</v>
      </c>
      <c r="L47" s="5">
        <f>251.46</f>
        <v>251.46</v>
      </c>
      <c r="M47" s="5">
        <f>251.46</f>
        <v>251.46</v>
      </c>
      <c r="N47" s="5">
        <f>(((((((((((B47)+(C47))+(D47))+(E47))+(F47))+(G47))+(H47))+(I47))+(J47))+(K47))+(L47))+(M47)</f>
        <v>2833.72</v>
      </c>
    </row>
    <row r="48" spans="1:14" x14ac:dyDescent="0.25">
      <c r="A48" s="3" t="s">
        <v>117</v>
      </c>
      <c r="B48" s="7">
        <f>((((B43)+(B44))+(B45))+(B46))+(B47)</f>
        <v>289.28000000000003</v>
      </c>
      <c r="C48" s="7">
        <f>((((C43)+(C44))+(C45))+(C46))+(C47)</f>
        <v>478.20000000000005</v>
      </c>
      <c r="D48" s="7">
        <f>((((D43)+(D44))+(D45))+(D46))+(D47)</f>
        <v>294.68</v>
      </c>
      <c r="E48" s="7">
        <f>((((E43)+(E44))+(E45))+(E46))+(E47)</f>
        <v>48.26</v>
      </c>
      <c r="F48" s="7">
        <f>((((F43)+(F44))+(F45))+(F46))+(F47)</f>
        <v>469.08</v>
      </c>
      <c r="G48" s="7">
        <f>((((G43)+(G44))+(G45))+(G46))+(G47)</f>
        <v>298.60000000000002</v>
      </c>
      <c r="H48" s="7">
        <f>((((H43)+(H44))+(H45))+(H46))+(H47)</f>
        <v>298.48</v>
      </c>
      <c r="I48" s="7">
        <f>((((I43)+(I44))+(I45))+(I46))+(I47)</f>
        <v>298.39999999999998</v>
      </c>
      <c r="J48" s="7">
        <f>((((J43)+(J44))+(J45))+(J46))+(J47)</f>
        <v>298.39999999999998</v>
      </c>
      <c r="K48" s="7">
        <f>((((K43)+(K44))+(K45))+(K46))+(K47)</f>
        <v>301.7</v>
      </c>
      <c r="L48" s="7">
        <f>((((L43)+(L44))+(L45))+(L46))+(L47)</f>
        <v>299.72000000000003</v>
      </c>
      <c r="M48" s="7">
        <f>((((M43)+(M44))+(M45))+(M46))+(M47)</f>
        <v>299.72000000000003</v>
      </c>
      <c r="N48" s="7">
        <f>(((((((((((B48)+(C48))+(D48))+(E48))+(F48))+(G48))+(H48))+(I48))+(J48))+(K48))+(L48))+(M48)</f>
        <v>3674.5200000000004</v>
      </c>
    </row>
    <row r="49" spans="1:14" x14ac:dyDescent="0.25">
      <c r="A49" s="3" t="s">
        <v>116</v>
      </c>
      <c r="B49" s="7">
        <f>(((((((((((B32)+(B33))+(B34))+(B35))+(B36))+(B37))+(B38))+(B39))+(B40))+(B41))+(B42))+(B48)</f>
        <v>2273.9300000000003</v>
      </c>
      <c r="C49" s="7">
        <f>(((((((((((C32)+(C33))+(C34))+(C35))+(C36))+(C37))+(C38))+(C39))+(C40))+(C41))+(C42))+(C48)</f>
        <v>2117.79</v>
      </c>
      <c r="D49" s="7">
        <f>(((((((((((D32)+(D33))+(D34))+(D35))+(D36))+(D37))+(D38))+(D39))+(D40))+(D41))+(D42))+(D48)</f>
        <v>3838.9899999999993</v>
      </c>
      <c r="E49" s="7">
        <f>(((((((((((E32)+(E33))+(E34))+(E35))+(E36))+(E37))+(E38))+(E39))+(E40))+(E41))+(E42))+(E48)</f>
        <v>2033.79</v>
      </c>
      <c r="F49" s="7">
        <f>(((((((((((F32)+(F33))+(F34))+(F35))+(F36))+(F37))+(F38))+(F39))+(F40))+(F41))+(F42))+(F48)</f>
        <v>2676.4800000000005</v>
      </c>
      <c r="G49" s="7">
        <f>(((((((((((G32)+(G33))+(G34))+(G35))+(G36))+(G37))+(G38))+(G39))+(G40))+(G41))+(G42))+(G48)</f>
        <v>2921.8599999999997</v>
      </c>
      <c r="H49" s="7">
        <f>(((((((((((H32)+(H33))+(H34))+(H35))+(H36))+(H37))+(H38))+(H39))+(H40))+(H41))+(H42))+(H48)</f>
        <v>1718.52</v>
      </c>
      <c r="I49" s="7">
        <f>(((((((((((I32)+(I33))+(I34))+(I35))+(I36))+(I37))+(I38))+(I39))+(I40))+(I41))+(I42))+(I48)</f>
        <v>1807.69</v>
      </c>
      <c r="J49" s="7">
        <f>(((((((((((J32)+(J33))+(J34))+(J35))+(J36))+(J37))+(J38))+(J39))+(J40))+(J41))+(J42))+(J48)</f>
        <v>1580.8200000000002</v>
      </c>
      <c r="K49" s="7">
        <f>(((((((((((K32)+(K33))+(K34))+(K35))+(K36))+(K37))+(K38))+(K39))+(K40))+(K41))+(K42))+(K48)</f>
        <v>2627.54</v>
      </c>
      <c r="L49" s="7">
        <f>(((((((((((L32)+(L33))+(L34))+(L35))+(L36))+(L37))+(L38))+(L39))+(L40))+(L41))+(L42))+(L48)</f>
        <v>1763.7299999999998</v>
      </c>
      <c r="M49" s="7">
        <f>(((((((((((M32)+(M33))+(M34))+(M35))+(M36))+(M37))+(M38))+(M39))+(M40))+(M41))+(M42))+(M48)</f>
        <v>1336.8</v>
      </c>
      <c r="N49" s="7">
        <f>(((((((((((B49)+(C49))+(D49))+(E49))+(F49))+(G49))+(H49))+(I49))+(J49))+(K49))+(L49))+(M49)</f>
        <v>26697.94</v>
      </c>
    </row>
    <row r="50" spans="1:14" x14ac:dyDescent="0.25">
      <c r="A50" s="3" t="s">
        <v>24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>
        <f>(((((((((((B50)+(C50))+(D50))+(E50))+(F50))+(G50))+(H50))+(I50))+(J50))+(K50))+(L50))+(M50)</f>
        <v>0</v>
      </c>
    </row>
    <row r="51" spans="1:14" x14ac:dyDescent="0.25">
      <c r="A51" s="3" t="s">
        <v>115</v>
      </c>
      <c r="B51" s="5">
        <f>1735</f>
        <v>1735</v>
      </c>
      <c r="C51" s="5">
        <f>176.94</f>
        <v>176.94</v>
      </c>
      <c r="D51" s="4"/>
      <c r="E51" s="4"/>
      <c r="F51" s="5">
        <f>411.65</f>
        <v>411.65</v>
      </c>
      <c r="G51" s="4"/>
      <c r="H51" s="5">
        <f>592.77</f>
        <v>592.77</v>
      </c>
      <c r="I51" s="5">
        <f>444.03</f>
        <v>444.03</v>
      </c>
      <c r="J51" s="5">
        <f>225</f>
        <v>225</v>
      </c>
      <c r="K51" s="5">
        <f>549.2</f>
        <v>549.20000000000005</v>
      </c>
      <c r="L51" s="5">
        <f>781.21</f>
        <v>781.21</v>
      </c>
      <c r="M51" s="5">
        <f>210</f>
        <v>210</v>
      </c>
      <c r="N51" s="5">
        <f>(((((((((((B51)+(C51))+(D51))+(E51))+(F51))+(G51))+(H51))+(I51))+(J51))+(K51))+(L51))+(M51)</f>
        <v>5125.8</v>
      </c>
    </row>
    <row r="52" spans="1:14" x14ac:dyDescent="0.25">
      <c r="A52" s="3" t="s">
        <v>114</v>
      </c>
      <c r="B52" s="4"/>
      <c r="C52" s="5">
        <f>173.16</f>
        <v>173.16</v>
      </c>
      <c r="D52" s="4"/>
      <c r="E52" s="5">
        <f>66.15</f>
        <v>66.150000000000006</v>
      </c>
      <c r="F52" s="4"/>
      <c r="G52" s="4"/>
      <c r="H52" s="4"/>
      <c r="I52" s="5">
        <f>214.64</f>
        <v>214.64</v>
      </c>
      <c r="J52" s="4"/>
      <c r="K52" s="5">
        <f>39.51</f>
        <v>39.51</v>
      </c>
      <c r="L52" s="4"/>
      <c r="M52" s="4"/>
      <c r="N52" s="5">
        <f>(((((((((((B52)+(C52))+(D52))+(E52))+(F52))+(G52))+(H52))+(I52))+(J52))+(K52))+(L52))+(M52)</f>
        <v>493.46</v>
      </c>
    </row>
    <row r="53" spans="1:14" x14ac:dyDescent="0.25">
      <c r="A53" s="3" t="s">
        <v>113</v>
      </c>
      <c r="B53" s="7">
        <f>((B50)+(B51))+(B52)</f>
        <v>1735</v>
      </c>
      <c r="C53" s="7">
        <f>((C50)+(C51))+(C52)</f>
        <v>350.1</v>
      </c>
      <c r="D53" s="7">
        <f>((D50)+(D51))+(D52)</f>
        <v>0</v>
      </c>
      <c r="E53" s="7">
        <f>((E50)+(E51))+(E52)</f>
        <v>66.150000000000006</v>
      </c>
      <c r="F53" s="7">
        <f>((F50)+(F51))+(F52)</f>
        <v>411.65</v>
      </c>
      <c r="G53" s="7">
        <f>((G50)+(G51))+(G52)</f>
        <v>0</v>
      </c>
      <c r="H53" s="7">
        <f>((H50)+(H51))+(H52)</f>
        <v>592.77</v>
      </c>
      <c r="I53" s="7">
        <f>((I50)+(I51))+(I52)</f>
        <v>658.67</v>
      </c>
      <c r="J53" s="7">
        <f>((J50)+(J51))+(J52)</f>
        <v>225</v>
      </c>
      <c r="K53" s="7">
        <f>((K50)+(K51))+(K52)</f>
        <v>588.71</v>
      </c>
      <c r="L53" s="7">
        <f>((L50)+(L51))+(L52)</f>
        <v>781.21</v>
      </c>
      <c r="M53" s="7">
        <f>((M50)+(M51))+(M52)</f>
        <v>210</v>
      </c>
      <c r="N53" s="7">
        <f>(((((((((((B53)+(C53))+(D53))+(E53))+(F53))+(G53))+(H53))+(I53))+(J53))+(K53))+(L53))+(M53)</f>
        <v>5619.26</v>
      </c>
    </row>
    <row r="54" spans="1:14" x14ac:dyDescent="0.25">
      <c r="A54" s="3" t="s">
        <v>25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>
        <f>(((((((((((B54)+(C54))+(D54))+(E54))+(F54))+(G54))+(H54))+(I54))+(J54))+(K54))+(L54))+(M54)</f>
        <v>0</v>
      </c>
    </row>
    <row r="55" spans="1:14" x14ac:dyDescent="0.25">
      <c r="A55" s="3" t="s">
        <v>112</v>
      </c>
      <c r="B55" s="4"/>
      <c r="C55" s="4"/>
      <c r="D55" s="4"/>
      <c r="E55" s="4"/>
      <c r="F55" s="4"/>
      <c r="G55" s="4"/>
      <c r="H55" s="4"/>
      <c r="I55" s="4"/>
      <c r="J55" s="5">
        <f>359.26</f>
        <v>359.26</v>
      </c>
      <c r="K55" s="4"/>
      <c r="L55" s="5">
        <f>39.96</f>
        <v>39.96</v>
      </c>
      <c r="M55" s="4"/>
      <c r="N55" s="5">
        <f>(((((((((((B55)+(C55))+(D55))+(E55))+(F55))+(G55))+(H55))+(I55))+(J55))+(K55))+(L55))+(M55)</f>
        <v>399.21999999999997</v>
      </c>
    </row>
    <row r="56" spans="1:14" x14ac:dyDescent="0.25">
      <c r="A56" s="3" t="s">
        <v>111</v>
      </c>
      <c r="B56" s="4"/>
      <c r="C56" s="4"/>
      <c r="D56" s="4"/>
      <c r="E56" s="4"/>
      <c r="F56" s="4"/>
      <c r="G56" s="4"/>
      <c r="H56" s="4"/>
      <c r="I56" s="4"/>
      <c r="J56" s="5">
        <f>50.4</f>
        <v>50.4</v>
      </c>
      <c r="K56" s="4"/>
      <c r="L56" s="4"/>
      <c r="M56" s="4"/>
      <c r="N56" s="5">
        <f>(((((((((((B56)+(C56))+(D56))+(E56))+(F56))+(G56))+(H56))+(I56))+(J56))+(K56))+(L56))+(M56)</f>
        <v>50.4</v>
      </c>
    </row>
    <row r="57" spans="1:14" x14ac:dyDescent="0.25">
      <c r="A57" s="3" t="s">
        <v>110</v>
      </c>
      <c r="B57" s="7">
        <f>((B54)+(B55))+(B56)</f>
        <v>0</v>
      </c>
      <c r="C57" s="7">
        <f>((C54)+(C55))+(C56)</f>
        <v>0</v>
      </c>
      <c r="D57" s="7">
        <f>((D54)+(D55))+(D56)</f>
        <v>0</v>
      </c>
      <c r="E57" s="7">
        <f>((E54)+(E55))+(E56)</f>
        <v>0</v>
      </c>
      <c r="F57" s="7">
        <f>((F54)+(F55))+(F56)</f>
        <v>0</v>
      </c>
      <c r="G57" s="7">
        <f>((G54)+(G55))+(G56)</f>
        <v>0</v>
      </c>
      <c r="H57" s="7">
        <f>((H54)+(H55))+(H56)</f>
        <v>0</v>
      </c>
      <c r="I57" s="7">
        <f>((I54)+(I55))+(I56)</f>
        <v>0</v>
      </c>
      <c r="J57" s="7">
        <f>((J54)+(J55))+(J56)</f>
        <v>409.65999999999997</v>
      </c>
      <c r="K57" s="7">
        <f>((K54)+(K55))+(K56)</f>
        <v>0</v>
      </c>
      <c r="L57" s="7">
        <f>((L54)+(L55))+(L56)</f>
        <v>39.96</v>
      </c>
      <c r="M57" s="7">
        <f>((M54)+(M55))+(M56)</f>
        <v>0</v>
      </c>
      <c r="N57" s="7">
        <f>(((((((((((B57)+(C57))+(D57))+(E57))+(F57))+(G57))+(H57))+(I57))+(J57))+(K57))+(L57))+(M57)</f>
        <v>449.61999999999995</v>
      </c>
    </row>
    <row r="58" spans="1:14" x14ac:dyDescent="0.25">
      <c r="A58" s="3" t="s">
        <v>26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>
        <f>(((((((((((B58)+(C58))+(D58))+(E58))+(F58))+(G58))+(H58))+(I58))+(J58))+(K58))+(L58))+(M58)</f>
        <v>0</v>
      </c>
    </row>
    <row r="59" spans="1:14" x14ac:dyDescent="0.25">
      <c r="A59" s="3" t="s">
        <v>109</v>
      </c>
      <c r="B59" s="5">
        <f>3663.06</f>
        <v>3663.06</v>
      </c>
      <c r="C59" s="5">
        <f>3663.06</f>
        <v>3663.06</v>
      </c>
      <c r="D59" s="5">
        <f>3663.06</f>
        <v>3663.06</v>
      </c>
      <c r="E59" s="5">
        <f>3663.06</f>
        <v>3663.06</v>
      </c>
      <c r="F59" s="5">
        <f>3663.06</f>
        <v>3663.06</v>
      </c>
      <c r="G59" s="5">
        <f>3663.06</f>
        <v>3663.06</v>
      </c>
      <c r="H59" s="5">
        <f>3663.06</f>
        <v>3663.06</v>
      </c>
      <c r="I59" s="5">
        <f>3663.06</f>
        <v>3663.06</v>
      </c>
      <c r="J59" s="5">
        <f>3663.06</f>
        <v>3663.06</v>
      </c>
      <c r="K59" s="5">
        <f>3663.06</f>
        <v>3663.06</v>
      </c>
      <c r="L59" s="5">
        <f>3663.06</f>
        <v>3663.06</v>
      </c>
      <c r="M59" s="4"/>
      <c r="N59" s="5">
        <f>(((((((((((B59)+(C59))+(D59))+(E59))+(F59))+(G59))+(H59))+(I59))+(J59))+(K59))+(L59))+(M59)</f>
        <v>40293.659999999996</v>
      </c>
    </row>
    <row r="60" spans="1:14" x14ac:dyDescent="0.25">
      <c r="A60" s="3" t="s">
        <v>108</v>
      </c>
      <c r="B60" s="5">
        <f>723</f>
        <v>723</v>
      </c>
      <c r="C60" s="5">
        <f>723</f>
        <v>723</v>
      </c>
      <c r="D60" s="5">
        <f>723</f>
        <v>723</v>
      </c>
      <c r="E60" s="5">
        <f>723</f>
        <v>723</v>
      </c>
      <c r="F60" s="5">
        <f>723</f>
        <v>723</v>
      </c>
      <c r="G60" s="5">
        <f>723</f>
        <v>723</v>
      </c>
      <c r="H60" s="5">
        <f>723</f>
        <v>723</v>
      </c>
      <c r="I60" s="5">
        <f>723</f>
        <v>723</v>
      </c>
      <c r="J60" s="5">
        <f>723</f>
        <v>723</v>
      </c>
      <c r="K60" s="5">
        <f>723</f>
        <v>723</v>
      </c>
      <c r="L60" s="5">
        <f>723</f>
        <v>723</v>
      </c>
      <c r="M60" s="4"/>
      <c r="N60" s="5">
        <f>(((((((((((B60)+(C60))+(D60))+(E60))+(F60))+(G60))+(H60))+(I60))+(J60))+(K60))+(L60))+(M60)</f>
        <v>7953</v>
      </c>
    </row>
    <row r="61" spans="1:14" x14ac:dyDescent="0.25">
      <c r="A61" s="3" t="s">
        <v>107</v>
      </c>
      <c r="B61" s="5">
        <f>549.45</f>
        <v>549.45000000000005</v>
      </c>
      <c r="C61" s="5">
        <f>549.45</f>
        <v>549.45000000000005</v>
      </c>
      <c r="D61" s="5">
        <f>549.46</f>
        <v>549.46</v>
      </c>
      <c r="E61" s="5">
        <f>549.46</f>
        <v>549.46</v>
      </c>
      <c r="F61" s="5">
        <f>549.46</f>
        <v>549.46</v>
      </c>
      <c r="G61" s="5">
        <f>549.46</f>
        <v>549.46</v>
      </c>
      <c r="H61" s="5">
        <f>549.46</f>
        <v>549.46</v>
      </c>
      <c r="I61" s="5">
        <f>549.46</f>
        <v>549.46</v>
      </c>
      <c r="J61" s="5">
        <f>549.46</f>
        <v>549.46</v>
      </c>
      <c r="K61" s="5">
        <f>549.46</f>
        <v>549.46</v>
      </c>
      <c r="L61" s="5">
        <f>1062.46</f>
        <v>1062.46</v>
      </c>
      <c r="M61" s="4"/>
      <c r="N61" s="5">
        <f>(((((((((((B61)+(C61))+(D61))+(E61))+(F61))+(G61))+(H61))+(I61))+(J61))+(K61))+(L61))+(M61)</f>
        <v>6557.04</v>
      </c>
    </row>
    <row r="62" spans="1:14" x14ac:dyDescent="0.25">
      <c r="A62" s="3" t="s">
        <v>106</v>
      </c>
      <c r="B62" s="5">
        <f>2828.76</f>
        <v>2828.76</v>
      </c>
      <c r="C62" s="5">
        <f>2828.76</f>
        <v>2828.76</v>
      </c>
      <c r="D62" s="5">
        <f>2828.76</f>
        <v>2828.76</v>
      </c>
      <c r="E62" s="5">
        <f>2828.76</f>
        <v>2828.76</v>
      </c>
      <c r="F62" s="5">
        <f>2828.76</f>
        <v>2828.76</v>
      </c>
      <c r="G62" s="5">
        <f>2828.76</f>
        <v>2828.76</v>
      </c>
      <c r="H62" s="5">
        <f>2828.76</f>
        <v>2828.76</v>
      </c>
      <c r="I62" s="5">
        <f>2828.76</f>
        <v>2828.76</v>
      </c>
      <c r="J62" s="5">
        <f>2828.76</f>
        <v>2828.76</v>
      </c>
      <c r="K62" s="5">
        <f>2828.76</f>
        <v>2828.76</v>
      </c>
      <c r="L62" s="5">
        <f>2828.76</f>
        <v>2828.76</v>
      </c>
      <c r="M62" s="4"/>
      <c r="N62" s="5">
        <f>(((((((((((B62)+(C62))+(D62))+(E62))+(F62))+(G62))+(H62))+(I62))+(J62))+(K62))+(L62))+(M62)</f>
        <v>31116.360000000008</v>
      </c>
    </row>
    <row r="63" spans="1:14" x14ac:dyDescent="0.25">
      <c r="A63" s="3" t="s">
        <v>105</v>
      </c>
      <c r="B63" s="5">
        <f>216.4</f>
        <v>216.4</v>
      </c>
      <c r="C63" s="5">
        <f>216.41</f>
        <v>216.41</v>
      </c>
      <c r="D63" s="5">
        <f>216.39</f>
        <v>216.39</v>
      </c>
      <c r="E63" s="5">
        <f>216.4</f>
        <v>216.4</v>
      </c>
      <c r="F63" s="5">
        <f>216.4</f>
        <v>216.4</v>
      </c>
      <c r="G63" s="5">
        <f>216.4</f>
        <v>216.4</v>
      </c>
      <c r="H63" s="5">
        <f>216.4</f>
        <v>216.4</v>
      </c>
      <c r="I63" s="5">
        <f>216.4</f>
        <v>216.4</v>
      </c>
      <c r="J63" s="5">
        <f>216.4</f>
        <v>216.4</v>
      </c>
      <c r="K63" s="5">
        <f>216.4</f>
        <v>216.4</v>
      </c>
      <c r="L63" s="5">
        <f>216.4</f>
        <v>216.4</v>
      </c>
      <c r="M63" s="4"/>
      <c r="N63" s="5">
        <f>(((((((((((B63)+(C63))+(D63))+(E63))+(F63))+(G63))+(H63))+(I63))+(J63))+(K63))+(L63))+(M63)</f>
        <v>2380.4000000000005</v>
      </c>
    </row>
    <row r="64" spans="1:14" x14ac:dyDescent="0.25">
      <c r="A64" s="3" t="s">
        <v>104</v>
      </c>
      <c r="B64" s="5">
        <f>373.76</f>
        <v>373.76</v>
      </c>
      <c r="C64" s="5">
        <f>373.76</f>
        <v>373.76</v>
      </c>
      <c r="D64" s="5">
        <f>373.76</f>
        <v>373.76</v>
      </c>
      <c r="E64" s="5">
        <f>373.76</f>
        <v>373.76</v>
      </c>
      <c r="F64" s="5">
        <f>373.76</f>
        <v>373.76</v>
      </c>
      <c r="G64" s="5">
        <f>373.76</f>
        <v>373.76</v>
      </c>
      <c r="H64" s="5">
        <f>373.76</f>
        <v>373.76</v>
      </c>
      <c r="I64" s="5">
        <f>373.76</f>
        <v>373.76</v>
      </c>
      <c r="J64" s="5">
        <f>373.76</f>
        <v>373.76</v>
      </c>
      <c r="K64" s="5">
        <f>373.76</f>
        <v>373.76</v>
      </c>
      <c r="L64" s="5">
        <f>373.76</f>
        <v>373.76</v>
      </c>
      <c r="M64" s="4"/>
      <c r="N64" s="5">
        <f>(((((((((((B64)+(C64))+(D64))+(E64))+(F64))+(G64))+(H64))+(I64))+(J64))+(K64))+(L64))+(M64)</f>
        <v>4111.3600000000006</v>
      </c>
    </row>
    <row r="65" spans="1:14" x14ac:dyDescent="0.25">
      <c r="A65" s="3" t="s">
        <v>103</v>
      </c>
      <c r="B65" s="5">
        <f>71.59</f>
        <v>71.59</v>
      </c>
      <c r="C65" s="4"/>
      <c r="D65" s="4"/>
      <c r="E65" s="4"/>
      <c r="F65" s="4"/>
      <c r="G65" s="5">
        <f>-81.43</f>
        <v>-81.430000000000007</v>
      </c>
      <c r="H65" s="5">
        <f>41.82</f>
        <v>41.82</v>
      </c>
      <c r="I65" s="5">
        <f>41.82</f>
        <v>41.82</v>
      </c>
      <c r="J65" s="5">
        <f>73.07</f>
        <v>73.069999999999993</v>
      </c>
      <c r="K65" s="5">
        <f>31.25</f>
        <v>31.25</v>
      </c>
      <c r="L65" s="5">
        <f>31.25</f>
        <v>31.25</v>
      </c>
      <c r="M65" s="5">
        <f>41.84</f>
        <v>41.84</v>
      </c>
      <c r="N65" s="5">
        <f>(((((((((((B65)+(C65))+(D65))+(E65))+(F65))+(G65))+(H65))+(I65))+(J65))+(K65))+(L65))+(M65)</f>
        <v>251.21</v>
      </c>
    </row>
    <row r="66" spans="1:14" x14ac:dyDescent="0.25">
      <c r="A66" s="3" t="s">
        <v>102</v>
      </c>
      <c r="B66" s="4"/>
      <c r="C66" s="4"/>
      <c r="D66" s="4"/>
      <c r="E66" s="4"/>
      <c r="F66" s="4"/>
      <c r="G66" s="5">
        <f>440</f>
        <v>440</v>
      </c>
      <c r="H66" s="4"/>
      <c r="I66" s="4"/>
      <c r="J66" s="4"/>
      <c r="K66" s="4"/>
      <c r="L66" s="4"/>
      <c r="M66" s="4"/>
      <c r="N66" s="5">
        <f>(((((((((((B66)+(C66))+(D66))+(E66))+(F66))+(G66))+(H66))+(I66))+(J66))+(K66))+(L66))+(M66)</f>
        <v>440</v>
      </c>
    </row>
    <row r="67" spans="1:14" x14ac:dyDescent="0.25">
      <c r="A67" s="3" t="s">
        <v>101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5">
        <f>297.24</f>
        <v>297.24</v>
      </c>
      <c r="N67" s="5">
        <f>(((((((((((B67)+(C67))+(D67))+(E67))+(F67))+(G67))+(H67))+(I67))+(J67))+(K67))+(L67))+(M67)</f>
        <v>297.24</v>
      </c>
    </row>
    <row r="68" spans="1:14" x14ac:dyDescent="0.25">
      <c r="A68" s="3" t="s">
        <v>100</v>
      </c>
      <c r="B68" s="7">
        <f>(((((((((B58)+(B59))+(B60))+(B61))+(B62))+(B63))+(B64))+(B65))+(B66))+(B67)</f>
        <v>8426.0199999999986</v>
      </c>
      <c r="C68" s="7">
        <f>(((((((((C58)+(C59))+(C60))+(C61))+(C62))+(C63))+(C64))+(C65))+(C66))+(C67)</f>
        <v>8354.4399999999987</v>
      </c>
      <c r="D68" s="7">
        <f>(((((((((D58)+(D59))+(D60))+(D61))+(D62))+(D63))+(D64))+(D65))+(D66))+(D67)</f>
        <v>8354.43</v>
      </c>
      <c r="E68" s="7">
        <f>(((((((((E58)+(E59))+(E60))+(E61))+(E62))+(E63))+(E64))+(E65))+(E66))+(E67)</f>
        <v>8354.4399999999987</v>
      </c>
      <c r="F68" s="7">
        <f>(((((((((F58)+(F59))+(F60))+(F61))+(F62))+(F63))+(F64))+(F65))+(F66))+(F67)</f>
        <v>8354.4399999999987</v>
      </c>
      <c r="G68" s="7">
        <f>(((((((((G58)+(G59))+(G60))+(G61))+(G62))+(G63))+(G64))+(G65))+(G66))+(G67)</f>
        <v>8713.0099999999984</v>
      </c>
      <c r="H68" s="7">
        <f>(((((((((H58)+(H59))+(H60))+(H61))+(H62))+(H63))+(H64))+(H65))+(H66))+(H67)</f>
        <v>8396.2599999999984</v>
      </c>
      <c r="I68" s="7">
        <f>(((((((((I58)+(I59))+(I60))+(I61))+(I62))+(I63))+(I64))+(I65))+(I66))+(I67)</f>
        <v>8396.2599999999984</v>
      </c>
      <c r="J68" s="7">
        <f>(((((((((J58)+(J59))+(J60))+(J61))+(J62))+(J63))+(J64))+(J65))+(J66))+(J67)</f>
        <v>8427.5099999999984</v>
      </c>
      <c r="K68" s="7">
        <f>(((((((((K58)+(K59))+(K60))+(K61))+(K62))+(K63))+(K64))+(K65))+(K66))+(K67)</f>
        <v>8385.6899999999987</v>
      </c>
      <c r="L68" s="7">
        <f>(((((((((L58)+(L59))+(L60))+(L61))+(L62))+(L63))+(L64))+(L65))+(L66))+(L67)</f>
        <v>8898.6899999999987</v>
      </c>
      <c r="M68" s="7">
        <f>(((((((((M58)+(M59))+(M60))+(M61))+(M62))+(M63))+(M64))+(M65))+(M66))+(M67)</f>
        <v>339.08000000000004</v>
      </c>
      <c r="N68" s="7">
        <f>(((((((((((B68)+(C68))+(D68))+(E68))+(F68))+(G68))+(H68))+(I68))+(J68))+(K68))+(L68))+(M68)</f>
        <v>93400.26999999999</v>
      </c>
    </row>
    <row r="69" spans="1:14" x14ac:dyDescent="0.25">
      <c r="A69" s="3" t="s">
        <v>27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>
        <f>(((((((((((B69)+(C69))+(D69))+(E69))+(F69))+(G69))+(H69))+(I69))+(J69))+(K69))+(L69))+(M69)</f>
        <v>0</v>
      </c>
    </row>
    <row r="70" spans="1:14" x14ac:dyDescent="0.25">
      <c r="A70" s="3" t="s">
        <v>99</v>
      </c>
      <c r="B70" s="5">
        <f>440</f>
        <v>440</v>
      </c>
      <c r="C70" s="5">
        <f>550</f>
        <v>550</v>
      </c>
      <c r="D70" s="5">
        <f>440</f>
        <v>440</v>
      </c>
      <c r="E70" s="5">
        <f>440</f>
        <v>440</v>
      </c>
      <c r="F70" s="5">
        <f>550</f>
        <v>550</v>
      </c>
      <c r="G70" s="5">
        <f>440</f>
        <v>440</v>
      </c>
      <c r="H70" s="5">
        <f>440</f>
        <v>440</v>
      </c>
      <c r="I70" s="5">
        <f>550</f>
        <v>550</v>
      </c>
      <c r="J70" s="5">
        <f>440</f>
        <v>440</v>
      </c>
      <c r="K70" s="5">
        <f>550</f>
        <v>550</v>
      </c>
      <c r="L70" s="5">
        <f>440</f>
        <v>440</v>
      </c>
      <c r="M70" s="5">
        <f>330</f>
        <v>330</v>
      </c>
      <c r="N70" s="5">
        <f>(((((((((((B70)+(C70))+(D70))+(E70))+(F70))+(G70))+(H70))+(I70))+(J70))+(K70))+(L70))+(M70)</f>
        <v>5610</v>
      </c>
    </row>
    <row r="71" spans="1:14" x14ac:dyDescent="0.25">
      <c r="A71" s="3" t="s">
        <v>98</v>
      </c>
      <c r="B71" s="5">
        <f>406.45</f>
        <v>406.45</v>
      </c>
      <c r="C71" s="5">
        <f>1780.12</f>
        <v>1780.12</v>
      </c>
      <c r="D71" s="5">
        <f>71.25</f>
        <v>71.25</v>
      </c>
      <c r="E71" s="5">
        <f>890.01</f>
        <v>890.01</v>
      </c>
      <c r="F71" s="5">
        <f>172.47</f>
        <v>172.47</v>
      </c>
      <c r="G71" s="5">
        <f>1003.82</f>
        <v>1003.82</v>
      </c>
      <c r="H71" s="5">
        <f>231.04</f>
        <v>231.04</v>
      </c>
      <c r="I71" s="5">
        <f>729.47</f>
        <v>729.47</v>
      </c>
      <c r="J71" s="5">
        <f>476.07</f>
        <v>476.07</v>
      </c>
      <c r="K71" s="5">
        <f>779.03</f>
        <v>779.03</v>
      </c>
      <c r="L71" s="5">
        <f>528.83</f>
        <v>528.83000000000004</v>
      </c>
      <c r="M71" s="5">
        <f>729.35</f>
        <v>729.35</v>
      </c>
      <c r="N71" s="5">
        <f>(((((((((((B71)+(C71))+(D71))+(E71))+(F71))+(G71))+(H71))+(I71))+(J71))+(K71))+(L71))+(M71)</f>
        <v>7797.91</v>
      </c>
    </row>
    <row r="72" spans="1:14" x14ac:dyDescent="0.25">
      <c r="A72" s="3" t="s">
        <v>97</v>
      </c>
      <c r="B72" s="4"/>
      <c r="C72" s="4"/>
      <c r="D72" s="5">
        <f>111.63</f>
        <v>111.63</v>
      </c>
      <c r="E72" s="5">
        <f>123.94</f>
        <v>123.94</v>
      </c>
      <c r="F72" s="5">
        <f>6.42</f>
        <v>6.42</v>
      </c>
      <c r="G72" s="5">
        <f>96.07</f>
        <v>96.07</v>
      </c>
      <c r="H72" s="5">
        <f>3.99</f>
        <v>3.99</v>
      </c>
      <c r="I72" s="4"/>
      <c r="J72" s="5">
        <f>61.09</f>
        <v>61.09</v>
      </c>
      <c r="K72" s="5">
        <f>207.68</f>
        <v>207.68</v>
      </c>
      <c r="L72" s="5">
        <f>6.49</f>
        <v>6.49</v>
      </c>
      <c r="M72" s="5">
        <f>46.98</f>
        <v>46.98</v>
      </c>
      <c r="N72" s="5">
        <f>(((((((((((B72)+(C72))+(D72))+(E72))+(F72))+(G72))+(H72))+(I72))+(J72))+(K72))+(L72))+(M72)</f>
        <v>664.29</v>
      </c>
    </row>
    <row r="73" spans="1:14" x14ac:dyDescent="0.25">
      <c r="A73" s="3" t="s">
        <v>96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5">
        <f>110.79</f>
        <v>110.79</v>
      </c>
      <c r="M73" s="4"/>
      <c r="N73" s="5">
        <f>(((((((((((B73)+(C73))+(D73))+(E73))+(F73))+(G73))+(H73))+(I73))+(J73))+(K73))+(L73))+(M73)</f>
        <v>110.79</v>
      </c>
    </row>
    <row r="74" spans="1:14" x14ac:dyDescent="0.25">
      <c r="A74" s="3" t="s">
        <v>95</v>
      </c>
      <c r="B74" s="5">
        <f>850.94</f>
        <v>850.94</v>
      </c>
      <c r="C74" s="5">
        <f>563.92</f>
        <v>563.91999999999996</v>
      </c>
      <c r="D74" s="5">
        <f>549.69</f>
        <v>549.69000000000005</v>
      </c>
      <c r="E74" s="5">
        <f>561.87</f>
        <v>561.87</v>
      </c>
      <c r="F74" s="5">
        <f>1052.01</f>
        <v>1052.01</v>
      </c>
      <c r="G74" s="5">
        <f>520.74</f>
        <v>520.74</v>
      </c>
      <c r="H74" s="5">
        <f>524.9</f>
        <v>524.9</v>
      </c>
      <c r="I74" s="5">
        <f>872.45</f>
        <v>872.45</v>
      </c>
      <c r="J74" s="5">
        <f>879.8</f>
        <v>879.8</v>
      </c>
      <c r="K74" s="5">
        <f>873.79</f>
        <v>873.79</v>
      </c>
      <c r="L74" s="5">
        <f>1307.7</f>
        <v>1307.7</v>
      </c>
      <c r="M74" s="5">
        <f>964.61</f>
        <v>964.61</v>
      </c>
      <c r="N74" s="5">
        <f>(((((((((((B74)+(C74))+(D74))+(E74))+(F74))+(G74))+(H74))+(I74))+(J74))+(K74))+(L74))+(M74)</f>
        <v>9522.42</v>
      </c>
    </row>
    <row r="75" spans="1:14" x14ac:dyDescent="0.25">
      <c r="A75" s="3" t="s">
        <v>94</v>
      </c>
      <c r="B75" s="7">
        <f>(((((B69)+(B70))+(B71))+(B72))+(B73))+(B74)</f>
        <v>1697.39</v>
      </c>
      <c r="C75" s="7">
        <f>(((((C69)+(C70))+(C71))+(C72))+(C73))+(C74)</f>
        <v>2894.04</v>
      </c>
      <c r="D75" s="7">
        <f>(((((D69)+(D70))+(D71))+(D72))+(D73))+(D74)</f>
        <v>1172.5700000000002</v>
      </c>
      <c r="E75" s="7">
        <f>(((((E69)+(E70))+(E71))+(E72))+(E73))+(E74)</f>
        <v>2015.8200000000002</v>
      </c>
      <c r="F75" s="7">
        <f>(((((F69)+(F70))+(F71))+(F72))+(F73))+(F74)</f>
        <v>1780.9</v>
      </c>
      <c r="G75" s="7">
        <f>(((((G69)+(G70))+(G71))+(G72))+(G73))+(G74)</f>
        <v>2060.63</v>
      </c>
      <c r="H75" s="7">
        <f>(((((H69)+(H70))+(H71))+(H72))+(H73))+(H74)</f>
        <v>1199.9299999999998</v>
      </c>
      <c r="I75" s="7">
        <f>(((((I69)+(I70))+(I71))+(I72))+(I73))+(I74)</f>
        <v>2151.92</v>
      </c>
      <c r="J75" s="7">
        <f>(((((J69)+(J70))+(J71))+(J72))+(J73))+(J74)</f>
        <v>1856.96</v>
      </c>
      <c r="K75" s="7">
        <f>(((((K69)+(K70))+(K71))+(K72))+(K73))+(K74)</f>
        <v>2410.5</v>
      </c>
      <c r="L75" s="7">
        <f>(((((L69)+(L70))+(L71))+(L72))+(L73))+(L74)</f>
        <v>2393.8100000000004</v>
      </c>
      <c r="M75" s="7">
        <f>(((((M69)+(M70))+(M71))+(M72))+(M73))+(M74)</f>
        <v>2070.94</v>
      </c>
      <c r="N75" s="7">
        <f>(((((((((((B75)+(C75))+(D75))+(E75))+(F75))+(G75))+(H75))+(I75))+(J75))+(K75))+(L75))+(M75)</f>
        <v>23705.41</v>
      </c>
    </row>
    <row r="76" spans="1:14" x14ac:dyDescent="0.25">
      <c r="A76" s="3" t="s">
        <v>28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5">
        <f>0</f>
        <v>0</v>
      </c>
      <c r="N76" s="5">
        <f>(((((((((((B76)+(C76))+(D76))+(E76))+(F76))+(G76))+(H76))+(I76))+(J76))+(K76))+(L76))+(M76)</f>
        <v>0</v>
      </c>
    </row>
    <row r="77" spans="1:14" x14ac:dyDescent="0.25">
      <c r="A77" s="3" t="s">
        <v>93</v>
      </c>
      <c r="B77" s="5">
        <f>1850</f>
        <v>1850</v>
      </c>
      <c r="C77" s="5">
        <f>2025</f>
        <v>2025</v>
      </c>
      <c r="D77" s="5">
        <f>1650</f>
        <v>1650</v>
      </c>
      <c r="E77" s="5">
        <f>1725</f>
        <v>1725</v>
      </c>
      <c r="F77" s="5">
        <f>2150</f>
        <v>2150</v>
      </c>
      <c r="G77" s="5">
        <f>1875</f>
        <v>1875</v>
      </c>
      <c r="H77" s="5">
        <f>1700</f>
        <v>1700</v>
      </c>
      <c r="I77" s="5">
        <f>2175</f>
        <v>2175</v>
      </c>
      <c r="J77" s="5">
        <f>1650</f>
        <v>1650</v>
      </c>
      <c r="K77" s="5">
        <f>2300</f>
        <v>2300</v>
      </c>
      <c r="L77" s="5">
        <f>1500</f>
        <v>1500</v>
      </c>
      <c r="M77" s="5">
        <f>1750</f>
        <v>1750</v>
      </c>
      <c r="N77" s="5">
        <f>(((((((((((B77)+(C77))+(D77))+(E77))+(F77))+(G77))+(H77))+(I77))+(J77))+(K77))+(L77))+(M77)</f>
        <v>22350</v>
      </c>
    </row>
    <row r="78" spans="1:14" x14ac:dyDescent="0.25">
      <c r="A78" s="3" t="s">
        <v>92</v>
      </c>
      <c r="B78" s="7">
        <f>(B76)+(B77)</f>
        <v>1850</v>
      </c>
      <c r="C78" s="7">
        <f>(C76)+(C77)</f>
        <v>2025</v>
      </c>
      <c r="D78" s="7">
        <f>(D76)+(D77)</f>
        <v>1650</v>
      </c>
      <c r="E78" s="7">
        <f>(E76)+(E77)</f>
        <v>1725</v>
      </c>
      <c r="F78" s="7">
        <f>(F76)+(F77)</f>
        <v>2150</v>
      </c>
      <c r="G78" s="7">
        <f>(G76)+(G77)</f>
        <v>1875</v>
      </c>
      <c r="H78" s="7">
        <f>(H76)+(H77)</f>
        <v>1700</v>
      </c>
      <c r="I78" s="7">
        <f>(I76)+(I77)</f>
        <v>2175</v>
      </c>
      <c r="J78" s="7">
        <f>(J76)+(J77)</f>
        <v>1650</v>
      </c>
      <c r="K78" s="7">
        <f>(K76)+(K77)</f>
        <v>2300</v>
      </c>
      <c r="L78" s="7">
        <f>(L76)+(L77)</f>
        <v>1500</v>
      </c>
      <c r="M78" s="7">
        <f>(M76)+(M77)</f>
        <v>1750</v>
      </c>
      <c r="N78" s="7">
        <f>(((((((((((B78)+(C78))+(D78))+(E78))+(F78))+(G78))+(H78))+(I78))+(J78))+(K78))+(L78))+(M78)</f>
        <v>22350</v>
      </c>
    </row>
    <row r="79" spans="1:14" x14ac:dyDescent="0.25">
      <c r="A79" s="3" t="s">
        <v>29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>
        <f>(((((((((((B79)+(C79))+(D79))+(E79))+(F79))+(G79))+(H79))+(I79))+(J79))+(K79))+(L79))+(M79)</f>
        <v>0</v>
      </c>
    </row>
    <row r="80" spans="1:14" x14ac:dyDescent="0.25">
      <c r="A80" s="3" t="s">
        <v>91</v>
      </c>
      <c r="B80" s="4"/>
      <c r="C80" s="4"/>
      <c r="D80" s="4"/>
      <c r="E80" s="5">
        <f>87.9</f>
        <v>87.9</v>
      </c>
      <c r="F80" s="5">
        <f>135.85</f>
        <v>135.85</v>
      </c>
      <c r="G80" s="4"/>
      <c r="H80" s="4"/>
      <c r="I80" s="5">
        <f>187.85</f>
        <v>187.85</v>
      </c>
      <c r="J80" s="5">
        <f>89.9</f>
        <v>89.9</v>
      </c>
      <c r="K80" s="4"/>
      <c r="L80" s="5">
        <f>45.95</f>
        <v>45.95</v>
      </c>
      <c r="M80" s="5">
        <f>131.84</f>
        <v>131.84</v>
      </c>
      <c r="N80" s="5">
        <f>(((((((((((B80)+(C80))+(D80))+(E80))+(F80))+(G80))+(H80))+(I80))+(J80))+(K80))+(L80))+(M80)</f>
        <v>679.29000000000008</v>
      </c>
    </row>
    <row r="81" spans="1:14" x14ac:dyDescent="0.25">
      <c r="A81" s="3" t="s">
        <v>90</v>
      </c>
      <c r="B81" s="5">
        <f>60.9</f>
        <v>60.9</v>
      </c>
      <c r="C81" s="4"/>
      <c r="D81" s="5">
        <f>161.64</f>
        <v>161.63999999999999</v>
      </c>
      <c r="E81" s="5">
        <f>66.06</f>
        <v>66.06</v>
      </c>
      <c r="F81" s="5">
        <f>64.88</f>
        <v>64.88</v>
      </c>
      <c r="G81" s="5">
        <f>72.39</f>
        <v>72.39</v>
      </c>
      <c r="H81" s="5">
        <f>161.87</f>
        <v>161.87</v>
      </c>
      <c r="I81" s="5">
        <f>46.72</f>
        <v>46.72</v>
      </c>
      <c r="J81" s="5">
        <f>42.65</f>
        <v>42.65</v>
      </c>
      <c r="K81" s="5">
        <f>27.03</f>
        <v>27.03</v>
      </c>
      <c r="L81" s="5">
        <f>229.76</f>
        <v>229.76</v>
      </c>
      <c r="M81" s="5">
        <f>49.19</f>
        <v>49.19</v>
      </c>
      <c r="N81" s="5">
        <f>(((((((((((B81)+(C81))+(D81))+(E81))+(F81))+(G81))+(H81))+(I81))+(J81))+(K81))+(L81))+(M81)</f>
        <v>983.08999999999992</v>
      </c>
    </row>
    <row r="82" spans="1:14" x14ac:dyDescent="0.25">
      <c r="A82" s="3" t="s">
        <v>89</v>
      </c>
      <c r="B82" s="4"/>
      <c r="C82" s="4"/>
      <c r="D82" s="4"/>
      <c r="E82" s="4"/>
      <c r="F82" s="4"/>
      <c r="G82" s="4"/>
      <c r="H82" s="4"/>
      <c r="I82" s="4"/>
      <c r="J82" s="5">
        <f>50</f>
        <v>50</v>
      </c>
      <c r="K82" s="4"/>
      <c r="L82" s="4"/>
      <c r="M82" s="4"/>
      <c r="N82" s="5">
        <f>(((((((((((B82)+(C82))+(D82))+(E82))+(F82))+(G82))+(H82))+(I82))+(J82))+(K82))+(L82))+(M82)</f>
        <v>50</v>
      </c>
    </row>
    <row r="83" spans="1:14" x14ac:dyDescent="0.25">
      <c r="A83" s="3" t="s">
        <v>88</v>
      </c>
      <c r="B83" s="4"/>
      <c r="C83" s="4"/>
      <c r="D83" s="4"/>
      <c r="E83" s="4"/>
      <c r="F83" s="4"/>
      <c r="G83" s="4"/>
      <c r="H83" s="4"/>
      <c r="I83" s="5">
        <f>376.45</f>
        <v>376.45</v>
      </c>
      <c r="J83" s="5">
        <f>55.21</f>
        <v>55.21</v>
      </c>
      <c r="K83" s="4"/>
      <c r="L83" s="4"/>
      <c r="M83" s="4"/>
      <c r="N83" s="5">
        <f>(((((((((((B83)+(C83))+(D83))+(E83))+(F83))+(G83))+(H83))+(I83))+(J83))+(K83))+(L83))+(M83)</f>
        <v>431.65999999999997</v>
      </c>
    </row>
    <row r="84" spans="1:14" x14ac:dyDescent="0.25">
      <c r="A84" s="3" t="s">
        <v>87</v>
      </c>
      <c r="B84" s="4"/>
      <c r="C84" s="5">
        <f>62.83</f>
        <v>62.83</v>
      </c>
      <c r="D84" s="4"/>
      <c r="E84" s="4"/>
      <c r="F84" s="5">
        <f>26.99</f>
        <v>26.99</v>
      </c>
      <c r="G84" s="4"/>
      <c r="H84" s="4"/>
      <c r="I84" s="4"/>
      <c r="J84" s="5">
        <f>41.65</f>
        <v>41.65</v>
      </c>
      <c r="K84" s="4"/>
      <c r="L84" s="4"/>
      <c r="M84" s="4"/>
      <c r="N84" s="5">
        <f>(((((((((((B84)+(C84))+(D84))+(E84))+(F84))+(G84))+(H84))+(I84))+(J84))+(K84))+(L84))+(M84)</f>
        <v>131.47</v>
      </c>
    </row>
    <row r="85" spans="1:14" x14ac:dyDescent="0.25">
      <c r="A85" s="3" t="s">
        <v>86</v>
      </c>
      <c r="B85" s="7">
        <f>(((((B79)+(B80))+(B81))+(B82))+(B83))+(B84)</f>
        <v>60.9</v>
      </c>
      <c r="C85" s="7">
        <f>(((((C79)+(C80))+(C81))+(C82))+(C83))+(C84)</f>
        <v>62.83</v>
      </c>
      <c r="D85" s="7">
        <f>(((((D79)+(D80))+(D81))+(D82))+(D83))+(D84)</f>
        <v>161.63999999999999</v>
      </c>
      <c r="E85" s="7">
        <f>(((((E79)+(E80))+(E81))+(E82))+(E83))+(E84)</f>
        <v>153.96</v>
      </c>
      <c r="F85" s="7">
        <f>(((((F79)+(F80))+(F81))+(F82))+(F83))+(F84)</f>
        <v>227.72</v>
      </c>
      <c r="G85" s="7">
        <f>(((((G79)+(G80))+(G81))+(G82))+(G83))+(G84)</f>
        <v>72.39</v>
      </c>
      <c r="H85" s="7">
        <f>(((((H79)+(H80))+(H81))+(H82))+(H83))+(H84)</f>
        <v>161.87</v>
      </c>
      <c r="I85" s="7">
        <f>(((((I79)+(I80))+(I81))+(I82))+(I83))+(I84)</f>
        <v>611.02</v>
      </c>
      <c r="J85" s="7">
        <f>(((((J79)+(J80))+(J81))+(J82))+(J83))+(J84)</f>
        <v>279.41000000000003</v>
      </c>
      <c r="K85" s="7">
        <f>(((((K79)+(K80))+(K81))+(K82))+(K83))+(K84)</f>
        <v>27.03</v>
      </c>
      <c r="L85" s="7">
        <f>(((((L79)+(L80))+(L81))+(L82))+(L83))+(L84)</f>
        <v>275.70999999999998</v>
      </c>
      <c r="M85" s="7">
        <f>(((((M79)+(M80))+(M81))+(M82))+(M83))+(M84)</f>
        <v>181.03</v>
      </c>
      <c r="N85" s="7">
        <f>(((((((((((B85)+(C85))+(D85))+(E85))+(F85))+(G85))+(H85))+(I85))+(J85))+(K85))+(L85))+(M85)</f>
        <v>2275.5100000000002</v>
      </c>
    </row>
    <row r="86" spans="1:14" x14ac:dyDescent="0.25">
      <c r="A86" s="3" t="s">
        <v>30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>
        <f>(((((((((((B86)+(C86))+(D86))+(E86))+(F86))+(G86))+(H86))+(I86))+(J86))+(K86))+(L86))+(M86)</f>
        <v>0</v>
      </c>
    </row>
    <row r="87" spans="1:14" x14ac:dyDescent="0.25">
      <c r="A87" s="3" t="s">
        <v>85</v>
      </c>
      <c r="B87" s="4"/>
      <c r="C87" s="4"/>
      <c r="D87" s="4"/>
      <c r="E87" s="4"/>
      <c r="F87" s="5">
        <f>70.24</f>
        <v>70.239999999999995</v>
      </c>
      <c r="G87" s="4"/>
      <c r="H87" s="5">
        <f>56.65</f>
        <v>56.65</v>
      </c>
      <c r="I87" s="4"/>
      <c r="J87" s="5">
        <f>66.26</f>
        <v>66.260000000000005</v>
      </c>
      <c r="K87" s="5">
        <f>81.78</f>
        <v>81.78</v>
      </c>
      <c r="L87" s="5">
        <f>75</f>
        <v>75</v>
      </c>
      <c r="M87" s="4"/>
      <c r="N87" s="5">
        <f>(((((((((((B87)+(C87))+(D87))+(E87))+(F87))+(G87))+(H87))+(I87))+(J87))+(K87))+(L87))+(M87)</f>
        <v>349.92999999999995</v>
      </c>
    </row>
    <row r="88" spans="1:14" x14ac:dyDescent="0.25">
      <c r="A88" s="3" t="s">
        <v>84</v>
      </c>
      <c r="B88" s="4"/>
      <c r="C88" s="4"/>
      <c r="D88" s="4"/>
      <c r="E88" s="4"/>
      <c r="F88" s="4"/>
      <c r="G88" s="4"/>
      <c r="H88" s="4"/>
      <c r="I88" s="4"/>
      <c r="J88" s="4"/>
      <c r="K88" s="5">
        <f>84.96</f>
        <v>84.96</v>
      </c>
      <c r="L88" s="4"/>
      <c r="M88" s="4"/>
      <c r="N88" s="5">
        <f>(((((((((((B88)+(C88))+(D88))+(E88))+(F88))+(G88))+(H88))+(I88))+(J88))+(K88))+(L88))+(M88)</f>
        <v>84.96</v>
      </c>
    </row>
    <row r="89" spans="1:14" x14ac:dyDescent="0.25">
      <c r="A89" s="3" t="s">
        <v>83</v>
      </c>
      <c r="B89" s="4"/>
      <c r="C89" s="5">
        <f>150</f>
        <v>150</v>
      </c>
      <c r="D89" s="5">
        <f>150</f>
        <v>150</v>
      </c>
      <c r="E89" s="5">
        <f>200</f>
        <v>200</v>
      </c>
      <c r="F89" s="5">
        <f>150</f>
        <v>150</v>
      </c>
      <c r="G89" s="4"/>
      <c r="H89" s="5">
        <f>250</f>
        <v>250</v>
      </c>
      <c r="I89" s="4"/>
      <c r="J89" s="5">
        <f>150</f>
        <v>150</v>
      </c>
      <c r="K89" s="4"/>
      <c r="L89" s="4"/>
      <c r="M89" s="5">
        <f>150</f>
        <v>150</v>
      </c>
      <c r="N89" s="5">
        <f>(((((((((((B89)+(C89))+(D89))+(E89))+(F89))+(G89))+(H89))+(I89))+(J89))+(K89))+(L89))+(M89)</f>
        <v>1200</v>
      </c>
    </row>
    <row r="90" spans="1:14" x14ac:dyDescent="0.25">
      <c r="A90" s="3" t="s">
        <v>82</v>
      </c>
      <c r="B90" s="5">
        <f>24.95</f>
        <v>24.95</v>
      </c>
      <c r="C90" s="4"/>
      <c r="D90" s="4"/>
      <c r="E90" s="4"/>
      <c r="F90" s="4"/>
      <c r="G90" s="4"/>
      <c r="H90" s="4"/>
      <c r="I90" s="5">
        <f>29.95</f>
        <v>29.95</v>
      </c>
      <c r="J90" s="4"/>
      <c r="K90" s="4"/>
      <c r="L90" s="4"/>
      <c r="M90" s="4"/>
      <c r="N90" s="5">
        <f>(((((((((((B90)+(C90))+(D90))+(E90))+(F90))+(G90))+(H90))+(I90))+(J90))+(K90))+(L90))+(M90)</f>
        <v>54.9</v>
      </c>
    </row>
    <row r="91" spans="1:14" x14ac:dyDescent="0.25">
      <c r="A91" s="3" t="s">
        <v>81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5">
        <f>281.7</f>
        <v>281.7</v>
      </c>
      <c r="N91" s="5">
        <f>(((((((((((B91)+(C91))+(D91))+(E91))+(F91))+(G91))+(H91))+(I91))+(J91))+(K91))+(L91))+(M91)</f>
        <v>281.7</v>
      </c>
    </row>
    <row r="92" spans="1:14" x14ac:dyDescent="0.25">
      <c r="A92" s="3" t="s">
        <v>80</v>
      </c>
      <c r="B92" s="7">
        <f>(((((B86)+(B87))+(B88))+(B89))+(B90))+(B91)</f>
        <v>24.95</v>
      </c>
      <c r="C92" s="7">
        <f>(((((C86)+(C87))+(C88))+(C89))+(C90))+(C91)</f>
        <v>150</v>
      </c>
      <c r="D92" s="7">
        <f>(((((D86)+(D87))+(D88))+(D89))+(D90))+(D91)</f>
        <v>150</v>
      </c>
      <c r="E92" s="7">
        <f>(((((E86)+(E87))+(E88))+(E89))+(E90))+(E91)</f>
        <v>200</v>
      </c>
      <c r="F92" s="7">
        <f>(((((F86)+(F87))+(F88))+(F89))+(F90))+(F91)</f>
        <v>220.24</v>
      </c>
      <c r="G92" s="7">
        <f>(((((G86)+(G87))+(G88))+(G89))+(G90))+(G91)</f>
        <v>0</v>
      </c>
      <c r="H92" s="7">
        <f>(((((H86)+(H87))+(H88))+(H89))+(H90))+(H91)</f>
        <v>306.64999999999998</v>
      </c>
      <c r="I92" s="7">
        <f>(((((I86)+(I87))+(I88))+(I89))+(I90))+(I91)</f>
        <v>29.95</v>
      </c>
      <c r="J92" s="7">
        <f>(((((J86)+(J87))+(J88))+(J89))+(J90))+(J91)</f>
        <v>216.26</v>
      </c>
      <c r="K92" s="7">
        <f>(((((K86)+(K87))+(K88))+(K89))+(K90))+(K91)</f>
        <v>166.74</v>
      </c>
      <c r="L92" s="7">
        <f>(((((L86)+(L87))+(L88))+(L89))+(L90))+(L91)</f>
        <v>75</v>
      </c>
      <c r="M92" s="7">
        <f>(((((M86)+(M87))+(M88))+(M89))+(M90))+(M91)</f>
        <v>431.7</v>
      </c>
      <c r="N92" s="7">
        <f>(((((((((((B92)+(C92))+(D92))+(E92))+(F92))+(G92))+(H92))+(I92))+(J92))+(K92))+(L92))+(M92)</f>
        <v>1971.4900000000002</v>
      </c>
    </row>
    <row r="93" spans="1:14" x14ac:dyDescent="0.25">
      <c r="A93" s="3" t="s">
        <v>31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>
        <f>(((((((((((B93)+(C93))+(D93))+(E93))+(F93))+(G93))+(H93))+(I93))+(J93))+(K93))+(L93))+(M93)</f>
        <v>0</v>
      </c>
    </row>
    <row r="94" spans="1:14" x14ac:dyDescent="0.25">
      <c r="A94" s="3" t="s">
        <v>79</v>
      </c>
      <c r="B94" s="5">
        <f>254</f>
        <v>254</v>
      </c>
      <c r="C94" s="5">
        <f>863.1</f>
        <v>863.1</v>
      </c>
      <c r="D94" s="5">
        <f>898.73</f>
        <v>898.73</v>
      </c>
      <c r="E94" s="5">
        <f>654.7</f>
        <v>654.70000000000005</v>
      </c>
      <c r="F94" s="5">
        <f>924.18</f>
        <v>924.18</v>
      </c>
      <c r="G94" s="5">
        <f>848.88</f>
        <v>848.88</v>
      </c>
      <c r="H94" s="5">
        <f>667.4</f>
        <v>667.4</v>
      </c>
      <c r="I94" s="5">
        <f>603.1</f>
        <v>603.1</v>
      </c>
      <c r="J94" s="4"/>
      <c r="K94" s="5">
        <f>1440.5</f>
        <v>1440.5</v>
      </c>
      <c r="L94" s="5">
        <f>899.6</f>
        <v>899.6</v>
      </c>
      <c r="M94" s="5">
        <f>1195.92</f>
        <v>1195.92</v>
      </c>
      <c r="N94" s="5">
        <f>(((((((((((B94)+(C94))+(D94))+(E94))+(F94))+(G94))+(H94))+(I94))+(J94))+(K94))+(L94))+(M94)</f>
        <v>9250.11</v>
      </c>
    </row>
    <row r="95" spans="1:14" x14ac:dyDescent="0.25">
      <c r="A95" s="3" t="s">
        <v>78</v>
      </c>
      <c r="B95" s="5">
        <f>300</f>
        <v>300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>
        <f>(((((((((((B95)+(C95))+(D95))+(E95))+(F95))+(G95))+(H95))+(I95))+(J95))+(K95))+(L95))+(M95)</f>
        <v>300</v>
      </c>
    </row>
    <row r="96" spans="1:14" x14ac:dyDescent="0.25">
      <c r="A96" s="3" t="s">
        <v>77</v>
      </c>
      <c r="B96" s="7">
        <f>((B93)+(B94))+(B95)</f>
        <v>554</v>
      </c>
      <c r="C96" s="7">
        <f>((C93)+(C94))+(C95)</f>
        <v>863.1</v>
      </c>
      <c r="D96" s="7">
        <f>((D93)+(D94))+(D95)</f>
        <v>898.73</v>
      </c>
      <c r="E96" s="7">
        <f>((E93)+(E94))+(E95)</f>
        <v>654.70000000000005</v>
      </c>
      <c r="F96" s="7">
        <f>((F93)+(F94))+(F95)</f>
        <v>924.18</v>
      </c>
      <c r="G96" s="7">
        <f>((G93)+(G94))+(G95)</f>
        <v>848.88</v>
      </c>
      <c r="H96" s="7">
        <f>((H93)+(H94))+(H95)</f>
        <v>667.4</v>
      </c>
      <c r="I96" s="7">
        <f>((I93)+(I94))+(I95)</f>
        <v>603.1</v>
      </c>
      <c r="J96" s="7">
        <f>((J93)+(J94))+(J95)</f>
        <v>0</v>
      </c>
      <c r="K96" s="7">
        <f>((K93)+(K94))+(K95)</f>
        <v>1440.5</v>
      </c>
      <c r="L96" s="7">
        <f>((L93)+(L94))+(L95)</f>
        <v>899.6</v>
      </c>
      <c r="M96" s="7">
        <f>((M93)+(M94))+(M95)</f>
        <v>1195.92</v>
      </c>
      <c r="N96" s="7">
        <f>(((((((((((B96)+(C96))+(D96))+(E96))+(F96))+(G96))+(H96))+(I96))+(J96))+(K96))+(L96))+(M96)</f>
        <v>9550.1099999999988</v>
      </c>
    </row>
    <row r="97" spans="1:14" x14ac:dyDescent="0.25">
      <c r="A97" s="3" t="s">
        <v>32</v>
      </c>
      <c r="B97" s="5">
        <f>3.14</f>
        <v>3.14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>
        <f>(((((((((((B97)+(C97))+(D97))+(E97))+(F97))+(G97))+(H97))+(I97))+(J97))+(K97))+(L97))+(M97)</f>
        <v>3.14</v>
      </c>
    </row>
    <row r="98" spans="1:14" x14ac:dyDescent="0.25">
      <c r="A98" s="3" t="s">
        <v>33</v>
      </c>
      <c r="B98" s="4"/>
      <c r="C98" s="4"/>
      <c r="D98" s="4"/>
      <c r="E98" s="4"/>
      <c r="F98" s="4"/>
      <c r="G98" s="5">
        <f>-33.89</f>
        <v>-33.89</v>
      </c>
      <c r="H98" s="4"/>
      <c r="I98" s="4"/>
      <c r="J98" s="4"/>
      <c r="K98" s="4"/>
      <c r="L98" s="4"/>
      <c r="M98" s="4"/>
      <c r="N98" s="5">
        <f>(((((((((((B98)+(C98))+(D98))+(E98))+(F98))+(G98))+(H98))+(I98))+(J98))+(K98))+(L98))+(M98)</f>
        <v>-33.89</v>
      </c>
    </row>
    <row r="99" spans="1:14" x14ac:dyDescent="0.25">
      <c r="A99" s="3" t="s">
        <v>34</v>
      </c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>
        <f>(((((((((((B99)+(C99))+(D99))+(E99))+(F99))+(G99))+(H99))+(I99))+(J99))+(K99))+(L99))+(M99)</f>
        <v>0</v>
      </c>
    </row>
    <row r="100" spans="1:14" x14ac:dyDescent="0.25">
      <c r="A100" s="3" t="s">
        <v>76</v>
      </c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>
        <f>216.4</f>
        <v>216.4</v>
      </c>
      <c r="N100" s="5">
        <f>(((((((((((B100)+(C100))+(D100))+(E100))+(F100))+(G100))+(H100))+(I100))+(J100))+(K100))+(L100))+(M100)</f>
        <v>216.4</v>
      </c>
    </row>
    <row r="101" spans="1:14" x14ac:dyDescent="0.25">
      <c r="A101" s="3" t="s">
        <v>75</v>
      </c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">
        <f>6491.82</f>
        <v>6491.82</v>
      </c>
      <c r="N101" s="5">
        <f>(((((((((((B101)+(C101))+(D101))+(E101))+(F101))+(G101))+(H101))+(I101))+(J101))+(K101))+(L101))+(M101)</f>
        <v>6491.82</v>
      </c>
    </row>
    <row r="102" spans="1:14" x14ac:dyDescent="0.25">
      <c r="A102" s="3" t="s">
        <v>74</v>
      </c>
      <c r="B102" s="7">
        <f>((B99)+(B100))+(B101)</f>
        <v>0</v>
      </c>
      <c r="C102" s="7">
        <f>((C99)+(C100))+(C101)</f>
        <v>0</v>
      </c>
      <c r="D102" s="7">
        <f>((D99)+(D100))+(D101)</f>
        <v>0</v>
      </c>
      <c r="E102" s="7">
        <f>((E99)+(E100))+(E101)</f>
        <v>0</v>
      </c>
      <c r="F102" s="7">
        <f>((F99)+(F100))+(F101)</f>
        <v>0</v>
      </c>
      <c r="G102" s="7">
        <f>((G99)+(G100))+(G101)</f>
        <v>0</v>
      </c>
      <c r="H102" s="7">
        <f>((H99)+(H100))+(H101)</f>
        <v>0</v>
      </c>
      <c r="I102" s="7">
        <f>((I99)+(I100))+(I101)</f>
        <v>0</v>
      </c>
      <c r="J102" s="7">
        <f>((J99)+(J100))+(J101)</f>
        <v>0</v>
      </c>
      <c r="K102" s="7">
        <f>((K99)+(K100))+(K101)</f>
        <v>0</v>
      </c>
      <c r="L102" s="7">
        <f>((L99)+(L100))+(L101)</f>
        <v>0</v>
      </c>
      <c r="M102" s="7">
        <f>((M99)+(M100))+(M101)</f>
        <v>6708.2199999999993</v>
      </c>
      <c r="N102" s="7">
        <f>(((((((((((B102)+(C102))+(D102))+(E102))+(F102))+(G102))+(H102))+(I102))+(J102))+(K102))+(L102))+(M102)</f>
        <v>6708.2199999999993</v>
      </c>
    </row>
    <row r="103" spans="1:14" x14ac:dyDescent="0.25">
      <c r="A103" s="3" t="s">
        <v>35</v>
      </c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">
        <f>1096.76</f>
        <v>1096.76</v>
      </c>
      <c r="N103" s="5">
        <f>(((((((((((B103)+(C103))+(D103))+(E103))+(F103))+(G103))+(H103))+(I103))+(J103))+(K103))+(L103))+(M103)</f>
        <v>1096.76</v>
      </c>
    </row>
    <row r="104" spans="1:14" x14ac:dyDescent="0.25">
      <c r="A104" s="3" t="s">
        <v>36</v>
      </c>
      <c r="B104" s="7">
        <f>(((((((((((((B31)+(B49))+(B53))+(B57))+(B68))+(B75))+(B78))+(B85))+(B92))+(B96))+(B97))+(B98))+(B102))+(B103)</f>
        <v>16625.329999999998</v>
      </c>
      <c r="C104" s="7">
        <f>(((((((((((((C31)+(C49))+(C53))+(C57))+(C68))+(C75))+(C78))+(C85))+(C92))+(C96))+(C97))+(C98))+(C102))+(C103)</f>
        <v>16817.3</v>
      </c>
      <c r="D104" s="7">
        <f>(((((((((((((D31)+(D49))+(D53))+(D57))+(D68))+(D75))+(D78))+(D85))+(D92))+(D96))+(D97))+(D98))+(D102))+(D103)</f>
        <v>16226.359999999999</v>
      </c>
      <c r="E104" s="7">
        <f>(((((((((((((E31)+(E49))+(E53))+(E57))+(E68))+(E75))+(E78))+(E85))+(E92))+(E96))+(E97))+(E98))+(E102))+(E103)</f>
        <v>15203.859999999999</v>
      </c>
      <c r="F104" s="7">
        <f>(((((((((((((F31)+(F49))+(F53))+(F57))+(F68))+(F75))+(F78))+(F85))+(F92))+(F96))+(F97))+(F98))+(F102))+(F103)</f>
        <v>16745.609999999997</v>
      </c>
      <c r="G104" s="7">
        <f>(((((((((((((G31)+(G49))+(G53))+(G57))+(G68))+(G75))+(G78))+(G85))+(G92))+(G96))+(G97))+(G98))+(G102))+(G103)</f>
        <v>16457.88</v>
      </c>
      <c r="H104" s="7">
        <f>(((((((((((((H31)+(H49))+(H53))+(H57))+(H68))+(H75))+(H78))+(H85))+(H92))+(H96))+(H97))+(H98))+(H102))+(H103)</f>
        <v>14743.4</v>
      </c>
      <c r="I104" s="7">
        <f>(((((((((((((I31)+(I49))+(I53))+(I57))+(I68))+(I75))+(I78))+(I85))+(I92))+(I96))+(I97))+(I98))+(I102))+(I103)</f>
        <v>16433.61</v>
      </c>
      <c r="J104" s="7">
        <f>(((((((((((((J31)+(J49))+(J53))+(J57))+(J68))+(J75))+(J78))+(J85))+(J92))+(J96))+(J97))+(J98))+(J102))+(J103)</f>
        <v>14645.619999999997</v>
      </c>
      <c r="K104" s="7">
        <f>(((((((((((((K31)+(K49))+(K53))+(K57))+(K68))+(K75))+(K78))+(K85))+(K92))+(K96))+(K97))+(K98))+(K102))+(K103)</f>
        <v>17946.71</v>
      </c>
      <c r="L104" s="7">
        <f>(((((((((((((L31)+(L49))+(L53))+(L57))+(L68))+(L75))+(L78))+(L85))+(L92))+(L96))+(L97))+(L98))+(L102))+(L103)</f>
        <v>16627.709999999995</v>
      </c>
      <c r="M104" s="7">
        <f>(((((((((((((M31)+(M49))+(M53))+(M57))+(M68))+(M75))+(M78))+(M85))+(M92))+(M96))+(M97))+(M98))+(M102))+(M103)</f>
        <v>15320.449999999999</v>
      </c>
      <c r="N104" s="7">
        <f>(((((((((((B104)+(C104))+(D104))+(E104))+(F104))+(G104))+(H104))+(I104))+(J104))+(K104))+(L104))+(M104)</f>
        <v>193793.84</v>
      </c>
    </row>
    <row r="105" spans="1:14" x14ac:dyDescent="0.25">
      <c r="A105" s="3" t="s">
        <v>37</v>
      </c>
      <c r="B105" s="7">
        <f>(B29)-(B104)</f>
        <v>163.72999999999956</v>
      </c>
      <c r="C105" s="7">
        <f>(C29)-(C104)</f>
        <v>3465.8100000000013</v>
      </c>
      <c r="D105" s="7">
        <f>(D29)-(D104)</f>
        <v>-1931.3599999999988</v>
      </c>
      <c r="E105" s="7">
        <f>(E29)-(E104)</f>
        <v>439.69000000000233</v>
      </c>
      <c r="F105" s="7">
        <f>(F29)-(F104)</f>
        <v>-1259.0899999999965</v>
      </c>
      <c r="G105" s="7">
        <f>(G29)-(G104)</f>
        <v>-2060.090000000002</v>
      </c>
      <c r="H105" s="7">
        <f>(H29)-(H104)</f>
        <v>-1402.6100000000006</v>
      </c>
      <c r="I105" s="7">
        <f>(I29)-(I104)</f>
        <v>1608.9400000000023</v>
      </c>
      <c r="J105" s="7">
        <f>(J29)-(J104)</f>
        <v>1091.3800000000028</v>
      </c>
      <c r="K105" s="7">
        <f>(K29)-(K104)</f>
        <v>2037.7700000000004</v>
      </c>
      <c r="L105" s="7">
        <f>(L29)-(L104)</f>
        <v>-1666.4299999999967</v>
      </c>
      <c r="M105" s="7">
        <f>(M29)-(M104)</f>
        <v>584.19000000000051</v>
      </c>
      <c r="N105" s="7">
        <f>(((((((((((B105)+(C105))+(D105))+(E105))+(F105))+(G105))+(H105))+(I105))+(J105))+(K105))+(L105))+(M105)</f>
        <v>1071.9300000000148</v>
      </c>
    </row>
    <row r="106" spans="1:14" x14ac:dyDescent="0.25">
      <c r="A106" s="3" t="s">
        <v>38</v>
      </c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25">
      <c r="A107" s="3" t="s">
        <v>39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>
        <f>(((((((((((B107)+(C107))+(D107))+(E107))+(F107))+(G107))+(H107))+(I107))+(J107))+(K107))+(L107))+(M107)</f>
        <v>0</v>
      </c>
    </row>
    <row r="108" spans="1:14" x14ac:dyDescent="0.25">
      <c r="A108" s="3" t="s">
        <v>73</v>
      </c>
      <c r="B108" s="5">
        <f>252.12</f>
        <v>252.12</v>
      </c>
      <c r="C108" s="4"/>
      <c r="D108" s="4"/>
      <c r="E108" s="4"/>
      <c r="F108" s="4"/>
      <c r="G108" s="5">
        <f>-2113.22</f>
        <v>-2113.2199999999998</v>
      </c>
      <c r="H108" s="5">
        <f>1257.28</f>
        <v>1257.28</v>
      </c>
      <c r="I108" s="5">
        <f>-152.16</f>
        <v>-152.16</v>
      </c>
      <c r="J108" s="5">
        <f>252.54</f>
        <v>252.54</v>
      </c>
      <c r="K108" s="4"/>
      <c r="L108" s="4"/>
      <c r="M108" s="4"/>
      <c r="N108" s="5">
        <f>(((((((((((B108)+(C108))+(D108))+(E108))+(F108))+(G108))+(H108))+(I108))+(J108))+(K108))+(L108))+(M108)</f>
        <v>-503.43999999999994</v>
      </c>
    </row>
    <row r="109" spans="1:14" x14ac:dyDescent="0.25">
      <c r="A109" s="3" t="s">
        <v>72</v>
      </c>
      <c r="B109" s="4"/>
      <c r="C109" s="4"/>
      <c r="D109" s="4"/>
      <c r="E109" s="4"/>
      <c r="F109" s="4"/>
      <c r="G109" s="4"/>
      <c r="H109" s="5">
        <f>450</f>
        <v>450</v>
      </c>
      <c r="I109" s="4"/>
      <c r="J109" s="4"/>
      <c r="K109" s="4"/>
      <c r="L109" s="4"/>
      <c r="M109" s="4"/>
      <c r="N109" s="5">
        <f>(((((((((((B109)+(C109))+(D109))+(E109))+(F109))+(G109))+(H109))+(I109))+(J109))+(K109))+(L109))+(M109)</f>
        <v>450</v>
      </c>
    </row>
    <row r="110" spans="1:14" x14ac:dyDescent="0.25">
      <c r="A110" s="3" t="s">
        <v>71</v>
      </c>
      <c r="B110" s="7">
        <f>((B107)+(B108))+(B109)</f>
        <v>252.12</v>
      </c>
      <c r="C110" s="7">
        <f>((C107)+(C108))+(C109)</f>
        <v>0</v>
      </c>
      <c r="D110" s="7">
        <f>((D107)+(D108))+(D109)</f>
        <v>0</v>
      </c>
      <c r="E110" s="7">
        <f>((E107)+(E108))+(E109)</f>
        <v>0</v>
      </c>
      <c r="F110" s="7">
        <f>((F107)+(F108))+(F109)</f>
        <v>0</v>
      </c>
      <c r="G110" s="7">
        <f>((G107)+(G108))+(G109)</f>
        <v>-2113.2199999999998</v>
      </c>
      <c r="H110" s="7">
        <f>((H107)+(H108))+(H109)</f>
        <v>1707.28</v>
      </c>
      <c r="I110" s="7">
        <f>((I107)+(I108))+(I109)</f>
        <v>-152.16</v>
      </c>
      <c r="J110" s="7">
        <f>((J107)+(J108))+(J109)</f>
        <v>252.54</v>
      </c>
      <c r="K110" s="7">
        <f>((K107)+(K108))+(K109)</f>
        <v>0</v>
      </c>
      <c r="L110" s="7">
        <f>((L107)+(L108))+(L109)</f>
        <v>0</v>
      </c>
      <c r="M110" s="7">
        <f>((M107)+(M108))+(M109)</f>
        <v>0</v>
      </c>
      <c r="N110" s="7">
        <f>(((((((((((B110)+(C110))+(D110))+(E110))+(F110))+(G110))+(H110))+(I110))+(J110))+(K110))+(L110))+(M110)</f>
        <v>-53.439999999999912</v>
      </c>
    </row>
    <row r="111" spans="1:14" x14ac:dyDescent="0.25">
      <c r="A111" s="3" t="s">
        <v>40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>
        <f>(((((((((((B111)+(C111))+(D111))+(E111))+(F111))+(G111))+(H111))+(I111))+(J111))+(K111))+(L111))+(M111)</f>
        <v>0</v>
      </c>
    </row>
    <row r="112" spans="1:14" x14ac:dyDescent="0.25">
      <c r="A112" s="3" t="s">
        <v>70</v>
      </c>
      <c r="B112" s="5">
        <f>636.84</f>
        <v>636.84</v>
      </c>
      <c r="C112" s="5">
        <f>286.5</f>
        <v>286.5</v>
      </c>
      <c r="D112" s="5">
        <f>284.43</f>
        <v>284.43</v>
      </c>
      <c r="E112" s="5">
        <f>186.93</f>
        <v>186.93</v>
      </c>
      <c r="F112" s="5">
        <f>211.28</f>
        <v>211.28</v>
      </c>
      <c r="G112" s="5">
        <f>443.34</f>
        <v>443.34</v>
      </c>
      <c r="H112" s="5">
        <f>228.74</f>
        <v>228.74</v>
      </c>
      <c r="I112" s="5">
        <f>60.24</f>
        <v>60.24</v>
      </c>
      <c r="J112" s="5">
        <f>682.94</f>
        <v>682.94</v>
      </c>
      <c r="K112" s="5">
        <f>441.61</f>
        <v>441.61</v>
      </c>
      <c r="L112" s="5">
        <f>106.39</f>
        <v>106.39</v>
      </c>
      <c r="M112" s="5">
        <f>162.28</f>
        <v>162.28</v>
      </c>
      <c r="N112" s="5">
        <f>(((((((((((B112)+(C112))+(D112))+(E112))+(F112))+(G112))+(H112))+(I112))+(J112))+(K112))+(L112))+(M112)</f>
        <v>3731.5200000000004</v>
      </c>
    </row>
    <row r="113" spans="1:14" x14ac:dyDescent="0.25">
      <c r="A113" s="3" t="s">
        <v>69</v>
      </c>
      <c r="B113" s="5">
        <f>10</f>
        <v>10</v>
      </c>
      <c r="C113" s="5">
        <f>10</f>
        <v>10</v>
      </c>
      <c r="D113" s="5">
        <f>19.95</f>
        <v>19.95</v>
      </c>
      <c r="E113" s="5">
        <f>8.4</f>
        <v>8.4</v>
      </c>
      <c r="F113" s="5">
        <f>8.4</f>
        <v>8.4</v>
      </c>
      <c r="G113" s="4"/>
      <c r="H113" s="4"/>
      <c r="I113" s="4"/>
      <c r="J113" s="5">
        <f>202.59</f>
        <v>202.59</v>
      </c>
      <c r="K113" s="4"/>
      <c r="L113" s="5">
        <f>16</f>
        <v>16</v>
      </c>
      <c r="M113" s="4"/>
      <c r="N113" s="5">
        <f>(((((((((((B113)+(C113))+(D113))+(E113))+(F113))+(G113))+(H113))+(I113))+(J113))+(K113))+(L113))+(M113)</f>
        <v>275.34000000000003</v>
      </c>
    </row>
    <row r="114" spans="1:14" x14ac:dyDescent="0.25">
      <c r="A114" s="3" t="s">
        <v>68</v>
      </c>
      <c r="B114" s="7">
        <f>((B111)+(B112))+(B113)</f>
        <v>646.84</v>
      </c>
      <c r="C114" s="7">
        <f>((C111)+(C112))+(C113)</f>
        <v>296.5</v>
      </c>
      <c r="D114" s="7">
        <f>((D111)+(D112))+(D113)</f>
        <v>304.38</v>
      </c>
      <c r="E114" s="7">
        <f>((E111)+(E112))+(E113)</f>
        <v>195.33</v>
      </c>
      <c r="F114" s="7">
        <f>((F111)+(F112))+(F113)</f>
        <v>219.68</v>
      </c>
      <c r="G114" s="7">
        <f>((G111)+(G112))+(G113)</f>
        <v>443.34</v>
      </c>
      <c r="H114" s="7">
        <f>((H111)+(H112))+(H113)</f>
        <v>228.74</v>
      </c>
      <c r="I114" s="7">
        <f>((I111)+(I112))+(I113)</f>
        <v>60.24</v>
      </c>
      <c r="J114" s="7">
        <f>((J111)+(J112))+(J113)</f>
        <v>885.53000000000009</v>
      </c>
      <c r="K114" s="7">
        <f>((K111)+(K112))+(K113)</f>
        <v>441.61</v>
      </c>
      <c r="L114" s="7">
        <f>((L111)+(L112))+(L113)</f>
        <v>122.39</v>
      </c>
      <c r="M114" s="7">
        <f>((M111)+(M112))+(M113)</f>
        <v>162.28</v>
      </c>
      <c r="N114" s="7">
        <f>(((((((((((B114)+(C114))+(D114))+(E114))+(F114))+(G114))+(H114))+(I114))+(J114))+(K114))+(L114))+(M114)</f>
        <v>4006.8600000000006</v>
      </c>
    </row>
    <row r="115" spans="1:14" x14ac:dyDescent="0.25">
      <c r="A115" s="3" t="s">
        <v>41</v>
      </c>
      <c r="B115" s="5">
        <f>-713.71</f>
        <v>-713.71</v>
      </c>
      <c r="C115" s="5">
        <f>-42.22</f>
        <v>-42.22</v>
      </c>
      <c r="D115" s="5">
        <f>-28.5</f>
        <v>-28.5</v>
      </c>
      <c r="E115" s="5">
        <f>-14.25</f>
        <v>-14.25</v>
      </c>
      <c r="F115" s="5">
        <f>-287.73</f>
        <v>-287.73</v>
      </c>
      <c r="G115" s="5">
        <f>-252.42</f>
        <v>-252.42</v>
      </c>
      <c r="H115" s="5">
        <f>-28.5</f>
        <v>-28.5</v>
      </c>
      <c r="I115" s="4"/>
      <c r="J115" s="5">
        <f>-392.76</f>
        <v>-392.76</v>
      </c>
      <c r="K115" s="5">
        <f>-289.35</f>
        <v>-289.35000000000002</v>
      </c>
      <c r="L115" s="5">
        <f>-234.02</f>
        <v>-234.02</v>
      </c>
      <c r="M115" s="5">
        <f>-243.86</f>
        <v>-243.86</v>
      </c>
      <c r="N115" s="5">
        <f>(((((((((((B115)+(C115))+(D115))+(E115))+(F115))+(G115))+(H115))+(I115))+(J115))+(K115))+(L115))+(M115)</f>
        <v>-2527.3200000000002</v>
      </c>
    </row>
    <row r="116" spans="1:14" x14ac:dyDescent="0.25">
      <c r="A116" s="3" t="s">
        <v>42</v>
      </c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>
        <f>(((((((((((B116)+(C116))+(D116))+(E116))+(F116))+(G116))+(H116))+(I116))+(J116))+(K116))+(L116))+(M116)</f>
        <v>0</v>
      </c>
    </row>
    <row r="117" spans="1:14" x14ac:dyDescent="0.25">
      <c r="A117" s="3" t="s">
        <v>67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>
        <f>(((((((((((B117)+(C117))+(D117))+(E117))+(F117))+(G117))+(H117))+(I117))+(J117))+(K117))+(L117))+(M117)</f>
        <v>0</v>
      </c>
    </row>
    <row r="118" spans="1:14" x14ac:dyDescent="0.25">
      <c r="A118" s="3" t="s">
        <v>66</v>
      </c>
      <c r="B118" s="5">
        <f>438</f>
        <v>438</v>
      </c>
      <c r="C118" s="5">
        <f>104</f>
        <v>104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>
        <f>(((((((((((B118)+(C118))+(D118))+(E118))+(F118))+(G118))+(H118))+(I118))+(J118))+(K118))+(L118))+(M118)</f>
        <v>542</v>
      </c>
    </row>
    <row r="119" spans="1:14" x14ac:dyDescent="0.25">
      <c r="A119" s="3" t="s">
        <v>65</v>
      </c>
      <c r="B119" s="5">
        <f>1375</f>
        <v>1375</v>
      </c>
      <c r="C119" s="5">
        <f>200</f>
        <v>200</v>
      </c>
      <c r="D119" s="4"/>
      <c r="E119" s="4"/>
      <c r="F119" s="5">
        <f>145</f>
        <v>145</v>
      </c>
      <c r="G119" s="5">
        <f>2215</f>
        <v>2215</v>
      </c>
      <c r="H119" s="5">
        <f>140</f>
        <v>140</v>
      </c>
      <c r="I119" s="5">
        <f>200</f>
        <v>200</v>
      </c>
      <c r="J119" s="5">
        <f>190</f>
        <v>190</v>
      </c>
      <c r="K119" s="5">
        <f>2923</f>
        <v>2923</v>
      </c>
      <c r="L119" s="5">
        <f>188</f>
        <v>188</v>
      </c>
      <c r="M119" s="5">
        <f>119</f>
        <v>119</v>
      </c>
      <c r="N119" s="5">
        <f>(((((((((((B119)+(C119))+(D119))+(E119))+(F119))+(G119))+(H119))+(I119))+(J119))+(K119))+(L119))+(M119)</f>
        <v>7695</v>
      </c>
    </row>
    <row r="120" spans="1:14" x14ac:dyDescent="0.25">
      <c r="A120" s="3" t="s">
        <v>64</v>
      </c>
      <c r="B120" s="7">
        <f>((B117)+(B118))+(B119)</f>
        <v>1813</v>
      </c>
      <c r="C120" s="7">
        <f>((C117)+(C118))+(C119)</f>
        <v>304</v>
      </c>
      <c r="D120" s="7">
        <f>((D117)+(D118))+(D119)</f>
        <v>0</v>
      </c>
      <c r="E120" s="7">
        <f>((E117)+(E118))+(E119)</f>
        <v>0</v>
      </c>
      <c r="F120" s="7">
        <f>((F117)+(F118))+(F119)</f>
        <v>145</v>
      </c>
      <c r="G120" s="7">
        <f>((G117)+(G118))+(G119)</f>
        <v>2215</v>
      </c>
      <c r="H120" s="7">
        <f>((H117)+(H118))+(H119)</f>
        <v>140</v>
      </c>
      <c r="I120" s="7">
        <f>((I117)+(I118))+(I119)</f>
        <v>200</v>
      </c>
      <c r="J120" s="7">
        <f>((J117)+(J118))+(J119)</f>
        <v>190</v>
      </c>
      <c r="K120" s="7">
        <f>((K117)+(K118))+(K119)</f>
        <v>2923</v>
      </c>
      <c r="L120" s="7">
        <f>((L117)+(L118))+(L119)</f>
        <v>188</v>
      </c>
      <c r="M120" s="7">
        <f>((M117)+(M118))+(M119)</f>
        <v>119</v>
      </c>
      <c r="N120" s="7">
        <f>(((((((((((B120)+(C120))+(D120))+(E120))+(F120))+(G120))+(H120))+(I120))+(J120))+(K120))+(L120))+(M120)</f>
        <v>8237</v>
      </c>
    </row>
    <row r="121" spans="1:14" x14ac:dyDescent="0.25">
      <c r="A121" s="3" t="s">
        <v>63</v>
      </c>
      <c r="B121" s="4"/>
      <c r="C121" s="4"/>
      <c r="D121" s="4"/>
      <c r="E121" s="4"/>
      <c r="F121" s="4"/>
      <c r="G121" s="4"/>
      <c r="H121" s="4"/>
      <c r="I121" s="4"/>
      <c r="J121" s="4"/>
      <c r="K121" s="5">
        <f>-25</f>
        <v>-25</v>
      </c>
      <c r="L121" s="4"/>
      <c r="M121" s="4"/>
      <c r="N121" s="5">
        <f>(((((((((((B121)+(C121))+(D121))+(E121))+(F121))+(G121))+(H121))+(I121))+(J121))+(K121))+(L121))+(M121)</f>
        <v>-25</v>
      </c>
    </row>
    <row r="122" spans="1:14" x14ac:dyDescent="0.25">
      <c r="A122" s="3" t="s">
        <v>62</v>
      </c>
      <c r="B122" s="4"/>
      <c r="C122" s="4"/>
      <c r="D122" s="4"/>
      <c r="E122" s="4"/>
      <c r="F122" s="4"/>
      <c r="G122" s="4"/>
      <c r="H122" s="5">
        <f>-312</f>
        <v>-312</v>
      </c>
      <c r="I122" s="4"/>
      <c r="J122" s="5">
        <f>-285</f>
        <v>-285</v>
      </c>
      <c r="K122" s="4"/>
      <c r="L122" s="4"/>
      <c r="M122" s="4"/>
      <c r="N122" s="5">
        <f>(((((((((((B122)+(C122))+(D122))+(E122))+(F122))+(G122))+(H122))+(I122))+(J122))+(K122))+(L122))+(M122)</f>
        <v>-597</v>
      </c>
    </row>
    <row r="123" spans="1:14" x14ac:dyDescent="0.25">
      <c r="A123" s="3" t="s">
        <v>61</v>
      </c>
      <c r="B123" s="5">
        <f>-497.06</f>
        <v>-497.06</v>
      </c>
      <c r="C123" s="4"/>
      <c r="D123" s="4"/>
      <c r="E123" s="4"/>
      <c r="F123" s="4"/>
      <c r="G123" s="4"/>
      <c r="H123" s="4"/>
      <c r="I123" s="4"/>
      <c r="J123" s="5">
        <f>-1378</f>
        <v>-1378</v>
      </c>
      <c r="K123" s="4"/>
      <c r="L123" s="4"/>
      <c r="M123" s="4"/>
      <c r="N123" s="5">
        <f>(((((((((((B123)+(C123))+(D123))+(E123))+(F123))+(G123))+(H123))+(I123))+(J123))+(K123))+(L123))+(M123)</f>
        <v>-1875.06</v>
      </c>
    </row>
    <row r="124" spans="1:14" x14ac:dyDescent="0.25">
      <c r="A124" s="3" t="s">
        <v>60</v>
      </c>
      <c r="B124" s="4"/>
      <c r="C124" s="4"/>
      <c r="D124" s="4"/>
      <c r="E124" s="4"/>
      <c r="F124" s="5">
        <f>180</f>
        <v>180</v>
      </c>
      <c r="G124" s="5">
        <f>-450</f>
        <v>-450</v>
      </c>
      <c r="H124" s="4"/>
      <c r="I124" s="5">
        <f>-840</f>
        <v>-840</v>
      </c>
      <c r="J124" s="5">
        <f>878</f>
        <v>878</v>
      </c>
      <c r="K124" s="5">
        <f>-878</f>
        <v>-878</v>
      </c>
      <c r="L124" s="5">
        <f>-1197</f>
        <v>-1197</v>
      </c>
      <c r="M124" s="5">
        <f>-954.6</f>
        <v>-954.6</v>
      </c>
      <c r="N124" s="5">
        <f>(((((((((((B124)+(C124))+(D124))+(E124))+(F124))+(G124))+(H124))+(I124))+(J124))+(K124))+(L124))+(M124)</f>
        <v>-3261.6</v>
      </c>
    </row>
    <row r="125" spans="1:14" x14ac:dyDescent="0.25">
      <c r="A125" s="3" t="s">
        <v>59</v>
      </c>
      <c r="B125" s="5">
        <f>-45</f>
        <v>-45</v>
      </c>
      <c r="C125" s="5">
        <f>-200</f>
        <v>-200</v>
      </c>
      <c r="D125" s="4"/>
      <c r="E125" s="4"/>
      <c r="F125" s="4"/>
      <c r="G125" s="4"/>
      <c r="H125" s="4"/>
      <c r="I125" s="4"/>
      <c r="J125" s="5">
        <f>-450</f>
        <v>-450</v>
      </c>
      <c r="K125" s="4"/>
      <c r="L125" s="4"/>
      <c r="M125" s="5">
        <f>-270</f>
        <v>-270</v>
      </c>
      <c r="N125" s="5">
        <f>(((((((((((B125)+(C125))+(D125))+(E125))+(F125))+(G125))+(H125))+(I125))+(J125))+(K125))+(L125))+(M125)</f>
        <v>-965</v>
      </c>
    </row>
    <row r="126" spans="1:14" x14ac:dyDescent="0.25">
      <c r="A126" s="3" t="s">
        <v>58</v>
      </c>
      <c r="B126" s="7">
        <f>((((B121)+(B122))+(B123))+(B124))+(B125)</f>
        <v>-542.05999999999995</v>
      </c>
      <c r="C126" s="7">
        <f>((((C121)+(C122))+(C123))+(C124))+(C125)</f>
        <v>-200</v>
      </c>
      <c r="D126" s="7">
        <f>((((D121)+(D122))+(D123))+(D124))+(D125)</f>
        <v>0</v>
      </c>
      <c r="E126" s="7">
        <f>((((E121)+(E122))+(E123))+(E124))+(E125)</f>
        <v>0</v>
      </c>
      <c r="F126" s="7">
        <f>((((F121)+(F122))+(F123))+(F124))+(F125)</f>
        <v>180</v>
      </c>
      <c r="G126" s="7">
        <f>((((G121)+(G122))+(G123))+(G124))+(G125)</f>
        <v>-450</v>
      </c>
      <c r="H126" s="7">
        <f>((((H121)+(H122))+(H123))+(H124))+(H125)</f>
        <v>-312</v>
      </c>
      <c r="I126" s="7">
        <f>((((I121)+(I122))+(I123))+(I124))+(I125)</f>
        <v>-840</v>
      </c>
      <c r="J126" s="7">
        <f>((((J121)+(J122))+(J123))+(J124))+(J125)</f>
        <v>-1235</v>
      </c>
      <c r="K126" s="7">
        <f>((((K121)+(K122))+(K123))+(K124))+(K125)</f>
        <v>-903</v>
      </c>
      <c r="L126" s="7">
        <f>((((L121)+(L122))+(L123))+(L124))+(L125)</f>
        <v>-1197</v>
      </c>
      <c r="M126" s="7">
        <f>((((M121)+(M122))+(M123))+(M124))+(M125)</f>
        <v>-1224.5999999999999</v>
      </c>
      <c r="N126" s="7">
        <f>(((((((((((B126)+(C126))+(D126))+(E126))+(F126))+(G126))+(H126))+(I126))+(J126))+(K126))+(L126))+(M126)</f>
        <v>-6723.66</v>
      </c>
    </row>
    <row r="127" spans="1:14" x14ac:dyDescent="0.25">
      <c r="A127" s="3" t="s">
        <v>57</v>
      </c>
      <c r="B127" s="7">
        <f>((B116)+(B120))+(B126)</f>
        <v>1270.94</v>
      </c>
      <c r="C127" s="7">
        <f>((C116)+(C120))+(C126)</f>
        <v>104</v>
      </c>
      <c r="D127" s="7">
        <f>((D116)+(D120))+(D126)</f>
        <v>0</v>
      </c>
      <c r="E127" s="7">
        <f>((E116)+(E120))+(E126)</f>
        <v>0</v>
      </c>
      <c r="F127" s="7">
        <f>((F116)+(F120))+(F126)</f>
        <v>325</v>
      </c>
      <c r="G127" s="7">
        <f>((G116)+(G120))+(G126)</f>
        <v>1765</v>
      </c>
      <c r="H127" s="7">
        <f>((H116)+(H120))+(H126)</f>
        <v>-172</v>
      </c>
      <c r="I127" s="7">
        <f>((I116)+(I120))+(I126)</f>
        <v>-640</v>
      </c>
      <c r="J127" s="7">
        <f>((J116)+(J120))+(J126)</f>
        <v>-1045</v>
      </c>
      <c r="K127" s="7">
        <f>((K116)+(K120))+(K126)</f>
        <v>2020</v>
      </c>
      <c r="L127" s="7">
        <f>((L116)+(L120))+(L126)</f>
        <v>-1009</v>
      </c>
      <c r="M127" s="7">
        <f>((M116)+(M120))+(M126)</f>
        <v>-1105.5999999999999</v>
      </c>
      <c r="N127" s="7">
        <f>(((((((((((B127)+(C127))+(D127))+(E127))+(F127))+(G127))+(H127))+(I127))+(J127))+(K127))+(L127))+(M127)</f>
        <v>1513.3400000000001</v>
      </c>
    </row>
    <row r="128" spans="1:14" x14ac:dyDescent="0.25">
      <c r="A128" s="3" t="s">
        <v>43</v>
      </c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>
        <f>(((((((((((B128)+(C128))+(D128))+(E128))+(F128))+(G128))+(H128))+(I128))+(J128))+(K128))+(L128))+(M128)</f>
        <v>0</v>
      </c>
    </row>
    <row r="129" spans="1:14" x14ac:dyDescent="0.25">
      <c r="A129" s="3" t="s">
        <v>56</v>
      </c>
      <c r="B129" s="4"/>
      <c r="C129" s="5">
        <f>5500</f>
        <v>5500</v>
      </c>
      <c r="D129" s="5">
        <f>6523</f>
        <v>6523</v>
      </c>
      <c r="E129" s="5">
        <f>3833.33</f>
        <v>3833.33</v>
      </c>
      <c r="F129" s="5">
        <f>3623.33</f>
        <v>3623.33</v>
      </c>
      <c r="G129" s="5">
        <f>1095</f>
        <v>1095</v>
      </c>
      <c r="H129" s="5">
        <f>2960</f>
        <v>2960</v>
      </c>
      <c r="I129" s="5">
        <f>771</f>
        <v>771</v>
      </c>
      <c r="J129" s="5">
        <f>390</f>
        <v>390</v>
      </c>
      <c r="K129" s="4"/>
      <c r="L129" s="4"/>
      <c r="M129" s="4"/>
      <c r="N129" s="5">
        <f>(((((((((((B129)+(C129))+(D129))+(E129))+(F129))+(G129))+(H129))+(I129))+(J129))+(K129))+(L129))+(M129)</f>
        <v>24695.66</v>
      </c>
    </row>
    <row r="130" spans="1:14" x14ac:dyDescent="0.25">
      <c r="A130" s="3" t="s">
        <v>55</v>
      </c>
      <c r="B130" s="4"/>
      <c r="C130" s="5">
        <f>-53.2</f>
        <v>-53.2</v>
      </c>
      <c r="D130" s="5">
        <f>-9</f>
        <v>-9</v>
      </c>
      <c r="E130" s="5">
        <f>-1008.25</f>
        <v>-1008.25</v>
      </c>
      <c r="F130" s="5">
        <f>-5138.12</f>
        <v>-5138.12</v>
      </c>
      <c r="G130" s="5">
        <f>-6393.68</f>
        <v>-6393.68</v>
      </c>
      <c r="H130" s="5">
        <f>-11139.83</f>
        <v>-11139.83</v>
      </c>
      <c r="I130" s="5">
        <f>-4445.49</f>
        <v>-4445.49</v>
      </c>
      <c r="J130" s="5">
        <f>-97.28</f>
        <v>-97.28</v>
      </c>
      <c r="K130" s="4"/>
      <c r="L130" s="5">
        <f>-167.08</f>
        <v>-167.08</v>
      </c>
      <c r="M130" s="4"/>
      <c r="N130" s="5">
        <f>(((((((((((B130)+(C130))+(D130))+(E130))+(F130))+(G130))+(H130))+(I130))+(J130))+(K130))+(L130))+(M130)</f>
        <v>-28451.93</v>
      </c>
    </row>
    <row r="131" spans="1:14" x14ac:dyDescent="0.25">
      <c r="A131" s="3" t="s">
        <v>54</v>
      </c>
      <c r="B131" s="7">
        <f>((B128)+(B129))+(B130)</f>
        <v>0</v>
      </c>
      <c r="C131" s="7">
        <f>((C128)+(C129))+(C130)</f>
        <v>5446.8</v>
      </c>
      <c r="D131" s="7">
        <f>((D128)+(D129))+(D130)</f>
        <v>6514</v>
      </c>
      <c r="E131" s="7">
        <f>((E128)+(E129))+(E130)</f>
        <v>2825.08</v>
      </c>
      <c r="F131" s="7">
        <f>((F128)+(F129))+(F130)</f>
        <v>-1514.79</v>
      </c>
      <c r="G131" s="7">
        <f>((G128)+(G129))+(G130)</f>
        <v>-5298.68</v>
      </c>
      <c r="H131" s="7">
        <f>((H128)+(H129))+(H130)</f>
        <v>-8179.83</v>
      </c>
      <c r="I131" s="7">
        <f>((I128)+(I129))+(I130)</f>
        <v>-3674.49</v>
      </c>
      <c r="J131" s="7">
        <f>((J128)+(J129))+(J130)</f>
        <v>292.72000000000003</v>
      </c>
      <c r="K131" s="7">
        <f>((K128)+(K129))+(K130)</f>
        <v>0</v>
      </c>
      <c r="L131" s="7">
        <f>((L128)+(L129))+(L130)</f>
        <v>-167.08</v>
      </c>
      <c r="M131" s="7">
        <f>((M128)+(M129))+(M130)</f>
        <v>0</v>
      </c>
      <c r="N131" s="7">
        <f>(((((((((((B131)+(C131))+(D131))+(E131))+(F131))+(G131))+(H131))+(I131))+(J131))+(K131))+(L131))+(M131)</f>
        <v>-3756.2699999999995</v>
      </c>
    </row>
    <row r="132" spans="1:14" x14ac:dyDescent="0.25">
      <c r="A132" s="3" t="s">
        <v>44</v>
      </c>
      <c r="B132" s="7">
        <f>((((B110)+(B114))+(B115))+(B127))+(B131)</f>
        <v>1456.19</v>
      </c>
      <c r="C132" s="7">
        <f>((((C110)+(C114))+(C115))+(C127))+(C131)</f>
        <v>5805.08</v>
      </c>
      <c r="D132" s="7">
        <f>((((D110)+(D114))+(D115))+(D127))+(D131)</f>
        <v>6789.88</v>
      </c>
      <c r="E132" s="7">
        <f>((((E110)+(E114))+(E115))+(E127))+(E131)</f>
        <v>3006.16</v>
      </c>
      <c r="F132" s="7">
        <f>((((F110)+(F114))+(F115))+(F127))+(F131)</f>
        <v>-1257.8399999999999</v>
      </c>
      <c r="G132" s="7">
        <f>((((G110)+(G114))+(G115))+(G127))+(G131)</f>
        <v>-5455.9800000000005</v>
      </c>
      <c r="H132" s="7">
        <f>((((H110)+(H114))+(H115))+(H127))+(H131)</f>
        <v>-6444.3099999999995</v>
      </c>
      <c r="I132" s="7">
        <f>((((I110)+(I114))+(I115))+(I127))+(I131)</f>
        <v>-4406.41</v>
      </c>
      <c r="J132" s="7">
        <f>((((J110)+(J114))+(J115))+(J127))+(J131)</f>
        <v>-6.9699999999997999</v>
      </c>
      <c r="K132" s="7">
        <f>((((K110)+(K114))+(K115))+(K127))+(K131)</f>
        <v>2172.2600000000002</v>
      </c>
      <c r="L132" s="7">
        <f>((((L110)+(L114))+(L115))+(L127))+(L131)</f>
        <v>-1287.71</v>
      </c>
      <c r="M132" s="7">
        <f>((((M110)+(M114))+(M115))+(M127))+(M131)</f>
        <v>-1187.1799999999998</v>
      </c>
      <c r="N132" s="7">
        <f>(((((((((((B132)+(C132))+(D132))+(E132))+(F132))+(G132))+(H132))+(I132))+(J132))+(K132))+(L132))+(M132)</f>
        <v>-816.8299999999972</v>
      </c>
    </row>
    <row r="133" spans="1:14" x14ac:dyDescent="0.25">
      <c r="A133" s="3" t="s">
        <v>45</v>
      </c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x14ac:dyDescent="0.25">
      <c r="A134" s="3" t="s">
        <v>46</v>
      </c>
      <c r="B134" s="5">
        <f>-0.01</f>
        <v>-0.01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>
        <f>(((((((((((B134)+(C134))+(D134))+(E134))+(F134))+(G134))+(H134))+(I134))+(J134))+(K134))+(L134))+(M134)</f>
        <v>-0.01</v>
      </c>
    </row>
    <row r="135" spans="1:14" x14ac:dyDescent="0.25">
      <c r="A135" s="3" t="s">
        <v>47</v>
      </c>
      <c r="B135" s="5">
        <f>0</f>
        <v>0</v>
      </c>
      <c r="C135" s="4"/>
      <c r="D135" s="4"/>
      <c r="E135" s="4"/>
      <c r="F135" s="4"/>
      <c r="G135" s="4"/>
      <c r="H135" s="4"/>
      <c r="I135" s="4"/>
      <c r="J135" s="5">
        <f>0</f>
        <v>0</v>
      </c>
      <c r="K135" s="4"/>
      <c r="L135" s="4"/>
      <c r="M135" s="5">
        <f>0</f>
        <v>0</v>
      </c>
      <c r="N135" s="5">
        <f>(((((((((((B135)+(C135))+(D135))+(E135))+(F135))+(G135))+(H135))+(I135))+(J135))+(K135))+(L135))+(M135)</f>
        <v>0</v>
      </c>
    </row>
    <row r="136" spans="1:14" x14ac:dyDescent="0.25">
      <c r="A136" s="3" t="s">
        <v>48</v>
      </c>
      <c r="B136" s="7">
        <f>(B134)+(B135)</f>
        <v>-0.01</v>
      </c>
      <c r="C136" s="7">
        <f>(C134)+(C135)</f>
        <v>0</v>
      </c>
      <c r="D136" s="7">
        <f>(D134)+(D135)</f>
        <v>0</v>
      </c>
      <c r="E136" s="7">
        <f>(E134)+(E135)</f>
        <v>0</v>
      </c>
      <c r="F136" s="7">
        <f>(F134)+(F135)</f>
        <v>0</v>
      </c>
      <c r="G136" s="7">
        <f>(G134)+(G135)</f>
        <v>0</v>
      </c>
      <c r="H136" s="7">
        <f>(H134)+(H135)</f>
        <v>0</v>
      </c>
      <c r="I136" s="7">
        <f>(I134)+(I135)</f>
        <v>0</v>
      </c>
      <c r="J136" s="7">
        <f>(J134)+(J135)</f>
        <v>0</v>
      </c>
      <c r="K136" s="7">
        <f>(K134)+(K135)</f>
        <v>0</v>
      </c>
      <c r="L136" s="7">
        <f>(L134)+(L135)</f>
        <v>0</v>
      </c>
      <c r="M136" s="7">
        <f>(M134)+(M135)</f>
        <v>0</v>
      </c>
      <c r="N136" s="7">
        <f>(((((((((((B136)+(C136))+(D136))+(E136))+(F136))+(G136))+(H136))+(I136))+(J136))+(K136))+(L136))+(M136)</f>
        <v>-0.01</v>
      </c>
    </row>
    <row r="137" spans="1:14" x14ac:dyDescent="0.25">
      <c r="A137" s="3" t="s">
        <v>49</v>
      </c>
      <c r="B137" s="7">
        <f>(B132)-(B136)</f>
        <v>1456.2</v>
      </c>
      <c r="C137" s="7">
        <f>(C132)-(C136)</f>
        <v>5805.08</v>
      </c>
      <c r="D137" s="7">
        <f>(D132)-(D136)</f>
        <v>6789.88</v>
      </c>
      <c r="E137" s="7">
        <f>(E132)-(E136)</f>
        <v>3006.16</v>
      </c>
      <c r="F137" s="7">
        <f>(F132)-(F136)</f>
        <v>-1257.8399999999999</v>
      </c>
      <c r="G137" s="7">
        <f>(G132)-(G136)</f>
        <v>-5455.9800000000005</v>
      </c>
      <c r="H137" s="7">
        <f>(H132)-(H136)</f>
        <v>-6444.3099999999995</v>
      </c>
      <c r="I137" s="7">
        <f>(I132)-(I136)</f>
        <v>-4406.41</v>
      </c>
      <c r="J137" s="7">
        <f>(J132)-(J136)</f>
        <v>-6.9699999999997999</v>
      </c>
      <c r="K137" s="7">
        <f>(K132)-(K136)</f>
        <v>2172.2600000000002</v>
      </c>
      <c r="L137" s="7">
        <f>(L132)-(L136)</f>
        <v>-1287.71</v>
      </c>
      <c r="M137" s="7">
        <f>(M132)-(M136)</f>
        <v>-1187.1799999999998</v>
      </c>
      <c r="N137" s="7">
        <f>(((((((((((B137)+(C137))+(D137))+(E137))+(F137))+(G137))+(H137))+(I137))+(J137))+(K137))+(L137))+(M137)</f>
        <v>-816.8199999999988</v>
      </c>
    </row>
    <row r="138" spans="1:14" x14ac:dyDescent="0.25">
      <c r="A138" s="3" t="s">
        <v>50</v>
      </c>
      <c r="B138" s="7">
        <f>(B105)+(B137)</f>
        <v>1619.9299999999996</v>
      </c>
      <c r="C138" s="7">
        <f>(C105)+(C137)</f>
        <v>9270.8900000000012</v>
      </c>
      <c r="D138" s="7">
        <f>(D105)+(D137)</f>
        <v>4858.5200000000013</v>
      </c>
      <c r="E138" s="7">
        <f>(E105)+(E137)</f>
        <v>3445.8500000000022</v>
      </c>
      <c r="F138" s="7">
        <f>(F105)+(F137)</f>
        <v>-2516.9299999999967</v>
      </c>
      <c r="G138" s="7">
        <f>(G105)+(G137)</f>
        <v>-7516.0700000000024</v>
      </c>
      <c r="H138" s="7">
        <f>(H105)+(H137)</f>
        <v>-7846.92</v>
      </c>
      <c r="I138" s="7">
        <f>(I105)+(I137)</f>
        <v>-2797.4699999999975</v>
      </c>
      <c r="J138" s="7">
        <f>(J105)+(J137)</f>
        <v>1084.410000000003</v>
      </c>
      <c r="K138" s="7">
        <f>(K105)+(K137)</f>
        <v>4210.0300000000007</v>
      </c>
      <c r="L138" s="7">
        <f>(L105)+(L137)</f>
        <v>-2954.1399999999967</v>
      </c>
      <c r="M138" s="7">
        <f>(M105)+(M137)</f>
        <v>-602.98999999999933</v>
      </c>
      <c r="N138" s="7">
        <f>(((((((((((B138)+(C138))+(D138))+(E138))+(F138))+(G138))+(H138))+(I138))+(J138))+(K138))+(L138))+(M138)</f>
        <v>255.11000000001604</v>
      </c>
    </row>
    <row r="139" spans="1:14" x14ac:dyDescent="0.2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</sheetData>
  <mergeCells count="3">
    <mergeCell ref="A1:N1"/>
    <mergeCell ref="A2:N2"/>
    <mergeCell ref="A3:N3"/>
  </mergeCells>
  <pageMargins left="0.2" right="0.2" top="0.2" bottom="0.2" header="0" footer="0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0"/>
  <sheetViews>
    <sheetView zoomScaleNormal="100" workbookViewId="0">
      <selection activeCell="D105" sqref="D105"/>
    </sheetView>
  </sheetViews>
  <sheetFormatPr defaultRowHeight="15" x14ac:dyDescent="0.25"/>
  <cols>
    <col min="1" max="1" width="49.85546875" style="1" customWidth="1"/>
    <col min="2" max="2" width="8.7109375" style="12" bestFit="1" customWidth="1"/>
    <col min="3" max="3" width="10.42578125" style="12" bestFit="1" customWidth="1"/>
    <col min="4" max="4" width="17.85546875" style="12" bestFit="1" customWidth="1"/>
    <col min="5" max="5" width="28.42578125" style="12" bestFit="1" customWidth="1"/>
    <col min="6" max="6" width="12.5703125" style="1" customWidth="1"/>
    <col min="7" max="7" width="26.42578125" style="1" customWidth="1"/>
    <col min="8" max="8" width="20.28515625" style="1" bestFit="1" customWidth="1"/>
    <col min="9" max="9" width="9.5703125" style="12" bestFit="1" customWidth="1"/>
    <col min="10" max="10" width="8.7109375" style="12" bestFit="1" customWidth="1"/>
    <col min="11" max="16384" width="9.140625" style="12"/>
  </cols>
  <sheetData>
    <row r="1" spans="1:10" x14ac:dyDescent="0.25">
      <c r="A1" s="22" t="s">
        <v>51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8" x14ac:dyDescent="0.25">
      <c r="A2" s="9" t="s">
        <v>475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x14ac:dyDescent="0.25">
      <c r="A3" s="11" t="s">
        <v>474</v>
      </c>
      <c r="B3" s="20"/>
      <c r="C3" s="20"/>
      <c r="D3" s="20"/>
      <c r="E3" s="20"/>
      <c r="F3" s="20"/>
      <c r="G3" s="20"/>
      <c r="H3" s="20"/>
      <c r="I3" s="20"/>
      <c r="J3" s="20"/>
    </row>
    <row r="5" spans="1:10" x14ac:dyDescent="0.25">
      <c r="B5" s="19" t="s">
        <v>473</v>
      </c>
      <c r="C5" s="19" t="s">
        <v>472</v>
      </c>
      <c r="D5" s="19" t="s">
        <v>471</v>
      </c>
      <c r="E5" s="19" t="s">
        <v>470</v>
      </c>
      <c r="F5" s="2" t="s">
        <v>469</v>
      </c>
      <c r="G5" s="2" t="s">
        <v>468</v>
      </c>
      <c r="H5" s="2" t="s">
        <v>467</v>
      </c>
      <c r="I5" s="19" t="s">
        <v>466</v>
      </c>
      <c r="J5" s="19" t="s">
        <v>465</v>
      </c>
    </row>
    <row r="6" spans="1:10" x14ac:dyDescent="0.25">
      <c r="A6" s="14" t="s">
        <v>464</v>
      </c>
    </row>
    <row r="7" spans="1:10" x14ac:dyDescent="0.25">
      <c r="A7" s="14" t="s">
        <v>463</v>
      </c>
    </row>
    <row r="8" spans="1:10" x14ac:dyDescent="0.25">
      <c r="A8" s="14" t="s">
        <v>462</v>
      </c>
    </row>
    <row r="9" spans="1:10" x14ac:dyDescent="0.25">
      <c r="A9" s="14" t="s">
        <v>461</v>
      </c>
    </row>
    <row r="10" spans="1:10" ht="23.25" x14ac:dyDescent="0.25">
      <c r="B10" s="18" t="s">
        <v>200</v>
      </c>
      <c r="C10" s="18" t="s">
        <v>392</v>
      </c>
      <c r="D10" s="18"/>
      <c r="E10" s="18" t="s">
        <v>395</v>
      </c>
      <c r="F10" s="17"/>
      <c r="G10" s="17" t="s">
        <v>460</v>
      </c>
      <c r="H10" s="17" t="s">
        <v>151</v>
      </c>
      <c r="I10" s="15">
        <v>125</v>
      </c>
      <c r="J10" s="15">
        <v>125</v>
      </c>
    </row>
    <row r="11" spans="1:10" ht="23.25" x14ac:dyDescent="0.25">
      <c r="B11" s="18" t="s">
        <v>257</v>
      </c>
      <c r="C11" s="18" t="s">
        <v>392</v>
      </c>
      <c r="D11" s="18"/>
      <c r="E11" s="18"/>
      <c r="F11" s="17"/>
      <c r="G11" s="17" t="s">
        <v>459</v>
      </c>
      <c r="H11" s="17" t="s">
        <v>151</v>
      </c>
      <c r="I11" s="15">
        <v>45</v>
      </c>
      <c r="J11" s="15">
        <v>170</v>
      </c>
    </row>
    <row r="12" spans="1:10" ht="23.25" x14ac:dyDescent="0.25">
      <c r="B12" s="18" t="s">
        <v>378</v>
      </c>
      <c r="C12" s="18" t="s">
        <v>392</v>
      </c>
      <c r="D12" s="18"/>
      <c r="E12" s="18"/>
      <c r="F12" s="17"/>
      <c r="G12" s="17" t="s">
        <v>458</v>
      </c>
      <c r="H12" s="17" t="s">
        <v>151</v>
      </c>
      <c r="I12" s="15">
        <v>130</v>
      </c>
      <c r="J12" s="15">
        <v>300</v>
      </c>
    </row>
    <row r="13" spans="1:10" ht="23.25" x14ac:dyDescent="0.25">
      <c r="B13" s="18" t="s">
        <v>156</v>
      </c>
      <c r="C13" s="18" t="s">
        <v>392</v>
      </c>
      <c r="D13" s="18"/>
      <c r="E13" s="18"/>
      <c r="F13" s="17"/>
      <c r="G13" s="17" t="s">
        <v>457</v>
      </c>
      <c r="H13" s="17" t="s">
        <v>151</v>
      </c>
      <c r="I13" s="15">
        <v>270</v>
      </c>
      <c r="J13" s="15">
        <v>570</v>
      </c>
    </row>
    <row r="14" spans="1:10" ht="23.25" x14ac:dyDescent="0.25">
      <c r="B14" s="18" t="s">
        <v>156</v>
      </c>
      <c r="C14" s="18" t="s">
        <v>392</v>
      </c>
      <c r="D14" s="18"/>
      <c r="E14" s="18"/>
      <c r="F14" s="17"/>
      <c r="G14" s="17" t="s">
        <v>457</v>
      </c>
      <c r="H14" s="17" t="s">
        <v>151</v>
      </c>
      <c r="I14" s="15">
        <v>200</v>
      </c>
      <c r="J14" s="15">
        <v>770</v>
      </c>
    </row>
    <row r="15" spans="1:10" ht="23.25" x14ac:dyDescent="0.25">
      <c r="B15" s="18" t="s">
        <v>156</v>
      </c>
      <c r="C15" s="18" t="s">
        <v>392</v>
      </c>
      <c r="D15" s="18"/>
      <c r="E15" s="18"/>
      <c r="F15" s="17"/>
      <c r="G15" s="17" t="s">
        <v>456</v>
      </c>
      <c r="H15" s="17" t="s">
        <v>151</v>
      </c>
      <c r="I15" s="15">
        <v>207</v>
      </c>
      <c r="J15" s="15">
        <v>977</v>
      </c>
    </row>
    <row r="16" spans="1:10" ht="23.25" x14ac:dyDescent="0.25">
      <c r="B16" s="18" t="s">
        <v>305</v>
      </c>
      <c r="C16" s="18" t="s">
        <v>392</v>
      </c>
      <c r="D16" s="18"/>
      <c r="E16" s="18"/>
      <c r="F16" s="17"/>
      <c r="G16" s="17" t="s">
        <v>455</v>
      </c>
      <c r="H16" s="17" t="s">
        <v>151</v>
      </c>
      <c r="I16" s="15">
        <v>45</v>
      </c>
      <c r="J16" s="15">
        <v>1022</v>
      </c>
    </row>
    <row r="17" spans="1:10" ht="23.25" x14ac:dyDescent="0.25">
      <c r="B17" s="18" t="s">
        <v>195</v>
      </c>
      <c r="C17" s="18" t="s">
        <v>392</v>
      </c>
      <c r="D17" s="18"/>
      <c r="E17" s="18"/>
      <c r="F17" s="17"/>
      <c r="G17" s="17" t="s">
        <v>454</v>
      </c>
      <c r="H17" s="17" t="s">
        <v>151</v>
      </c>
      <c r="I17" s="15">
        <v>100</v>
      </c>
      <c r="J17" s="15">
        <v>1122</v>
      </c>
    </row>
    <row r="18" spans="1:10" ht="23.25" x14ac:dyDescent="0.25">
      <c r="B18" s="18" t="s">
        <v>226</v>
      </c>
      <c r="C18" s="18" t="s">
        <v>392</v>
      </c>
      <c r="D18" s="18"/>
      <c r="E18" s="18"/>
      <c r="F18" s="17"/>
      <c r="G18" s="17" t="s">
        <v>453</v>
      </c>
      <c r="H18" s="17" t="s">
        <v>151</v>
      </c>
      <c r="I18" s="15">
        <v>50</v>
      </c>
      <c r="J18" s="15">
        <v>1172</v>
      </c>
    </row>
    <row r="19" spans="1:10" ht="23.25" x14ac:dyDescent="0.25">
      <c r="B19" s="18" t="s">
        <v>226</v>
      </c>
      <c r="C19" s="18" t="s">
        <v>392</v>
      </c>
      <c r="D19" s="18"/>
      <c r="E19" s="18"/>
      <c r="F19" s="17"/>
      <c r="G19" s="17" t="s">
        <v>453</v>
      </c>
      <c r="H19" s="17" t="s">
        <v>151</v>
      </c>
      <c r="I19" s="15">
        <v>207</v>
      </c>
      <c r="J19" s="15">
        <v>1379</v>
      </c>
    </row>
    <row r="20" spans="1:10" ht="23.25" x14ac:dyDescent="0.25">
      <c r="B20" s="18" t="s">
        <v>383</v>
      </c>
      <c r="C20" s="18" t="s">
        <v>392</v>
      </c>
      <c r="D20" s="18"/>
      <c r="E20" s="18"/>
      <c r="F20" s="17"/>
      <c r="G20" s="17" t="s">
        <v>452</v>
      </c>
      <c r="H20" s="17" t="s">
        <v>151</v>
      </c>
      <c r="I20" s="15">
        <v>275</v>
      </c>
      <c r="J20" s="15">
        <v>1654</v>
      </c>
    </row>
    <row r="21" spans="1:10" ht="23.25" x14ac:dyDescent="0.25">
      <c r="B21" s="18" t="s">
        <v>403</v>
      </c>
      <c r="C21" s="18" t="s">
        <v>392</v>
      </c>
      <c r="D21" s="18"/>
      <c r="E21" s="18"/>
      <c r="F21" s="17"/>
      <c r="G21" s="17" t="s">
        <v>451</v>
      </c>
      <c r="H21" s="17" t="s">
        <v>151</v>
      </c>
      <c r="I21" s="15">
        <v>1745.4</v>
      </c>
      <c r="J21" s="15">
        <v>3399.4</v>
      </c>
    </row>
    <row r="22" spans="1:10" ht="23.25" x14ac:dyDescent="0.25">
      <c r="B22" s="18" t="s">
        <v>174</v>
      </c>
      <c r="C22" s="18" t="s">
        <v>392</v>
      </c>
      <c r="D22" s="18"/>
      <c r="E22" s="18"/>
      <c r="F22" s="17"/>
      <c r="G22" s="17" t="s">
        <v>449</v>
      </c>
      <c r="H22" s="17" t="s">
        <v>151</v>
      </c>
      <c r="I22" s="15">
        <v>200</v>
      </c>
      <c r="J22" s="15">
        <v>3599.4</v>
      </c>
    </row>
    <row r="23" spans="1:10" ht="23.25" x14ac:dyDescent="0.25">
      <c r="B23" s="18" t="s">
        <v>174</v>
      </c>
      <c r="C23" s="18" t="s">
        <v>392</v>
      </c>
      <c r="D23" s="18"/>
      <c r="E23" s="18"/>
      <c r="F23" s="17"/>
      <c r="G23" s="17" t="s">
        <v>449</v>
      </c>
      <c r="H23" s="17" t="s">
        <v>151</v>
      </c>
      <c r="I23" s="15">
        <v>250</v>
      </c>
      <c r="J23" s="15">
        <v>3849.4</v>
      </c>
    </row>
    <row r="24" spans="1:10" ht="23.25" x14ac:dyDescent="0.25">
      <c r="B24" s="18" t="s">
        <v>174</v>
      </c>
      <c r="C24" s="18" t="s">
        <v>392</v>
      </c>
      <c r="D24" s="18"/>
      <c r="E24" s="18"/>
      <c r="F24" s="17"/>
      <c r="G24" s="17" t="s">
        <v>449</v>
      </c>
      <c r="H24" s="17" t="s">
        <v>151</v>
      </c>
      <c r="I24" s="15">
        <v>55</v>
      </c>
      <c r="J24" s="15">
        <v>3904.4</v>
      </c>
    </row>
    <row r="25" spans="1:10" ht="23.25" x14ac:dyDescent="0.25">
      <c r="B25" s="18" t="s">
        <v>174</v>
      </c>
      <c r="C25" s="18" t="s">
        <v>392</v>
      </c>
      <c r="D25" s="18"/>
      <c r="E25" s="18"/>
      <c r="F25" s="17"/>
      <c r="G25" s="17" t="s">
        <v>450</v>
      </c>
      <c r="H25" s="17" t="s">
        <v>151</v>
      </c>
      <c r="I25" s="15">
        <v>207</v>
      </c>
      <c r="J25" s="15">
        <v>4111.3999999999996</v>
      </c>
    </row>
    <row r="26" spans="1:10" ht="23.25" x14ac:dyDescent="0.25">
      <c r="B26" s="18" t="s">
        <v>174</v>
      </c>
      <c r="C26" s="18" t="s">
        <v>392</v>
      </c>
      <c r="D26" s="18"/>
      <c r="E26" s="18"/>
      <c r="F26" s="17"/>
      <c r="G26" s="17" t="s">
        <v>449</v>
      </c>
      <c r="H26" s="17" t="s">
        <v>151</v>
      </c>
      <c r="I26" s="15">
        <v>20</v>
      </c>
      <c r="J26" s="15">
        <v>4131.3999999999996</v>
      </c>
    </row>
    <row r="27" spans="1:10" ht="23.25" x14ac:dyDescent="0.25">
      <c r="B27" s="18" t="s">
        <v>174</v>
      </c>
      <c r="C27" s="18" t="s">
        <v>392</v>
      </c>
      <c r="D27" s="18"/>
      <c r="E27" s="18"/>
      <c r="F27" s="17"/>
      <c r="G27" s="17" t="s">
        <v>448</v>
      </c>
      <c r="H27" s="17" t="s">
        <v>151</v>
      </c>
      <c r="I27" s="15">
        <v>140</v>
      </c>
      <c r="J27" s="15">
        <v>4271.3999999999996</v>
      </c>
    </row>
    <row r="28" spans="1:10" ht="23.25" x14ac:dyDescent="0.25">
      <c r="B28" s="18" t="s">
        <v>340</v>
      </c>
      <c r="C28" s="18" t="s">
        <v>392</v>
      </c>
      <c r="D28" s="18"/>
      <c r="E28" s="18"/>
      <c r="F28" s="17"/>
      <c r="G28" s="17" t="s">
        <v>447</v>
      </c>
      <c r="H28" s="17" t="s">
        <v>151</v>
      </c>
      <c r="I28" s="15">
        <v>45</v>
      </c>
      <c r="J28" s="15">
        <v>4316.3999999999996</v>
      </c>
    </row>
    <row r="29" spans="1:10" ht="23.25" x14ac:dyDescent="0.25">
      <c r="B29" s="18" t="s">
        <v>192</v>
      </c>
      <c r="C29" s="18" t="s">
        <v>392</v>
      </c>
      <c r="D29" s="18"/>
      <c r="E29" s="18"/>
      <c r="F29" s="17"/>
      <c r="G29" s="17" t="s">
        <v>446</v>
      </c>
      <c r="H29" s="17" t="s">
        <v>151</v>
      </c>
      <c r="I29" s="15">
        <v>207</v>
      </c>
      <c r="J29" s="15">
        <v>4523.3999999999996</v>
      </c>
    </row>
    <row r="30" spans="1:10" ht="23.25" x14ac:dyDescent="0.25">
      <c r="B30" s="18" t="s">
        <v>169</v>
      </c>
      <c r="C30" s="18" t="s">
        <v>392</v>
      </c>
      <c r="D30" s="18"/>
      <c r="E30" s="18"/>
      <c r="F30" s="17"/>
      <c r="G30" s="17" t="s">
        <v>445</v>
      </c>
      <c r="H30" s="17" t="s">
        <v>151</v>
      </c>
      <c r="I30" s="15">
        <v>45</v>
      </c>
      <c r="J30" s="15">
        <v>4568.3999999999996</v>
      </c>
    </row>
    <row r="31" spans="1:10" x14ac:dyDescent="0.25">
      <c r="A31" s="14" t="s">
        <v>444</v>
      </c>
      <c r="I31" s="13">
        <v>4568.3999999999996</v>
      </c>
    </row>
    <row r="32" spans="1:10" x14ac:dyDescent="0.25">
      <c r="A32" s="14" t="s">
        <v>443</v>
      </c>
    </row>
    <row r="33" spans="1:10" ht="23.25" x14ac:dyDescent="0.25">
      <c r="B33" s="18" t="s">
        <v>248</v>
      </c>
      <c r="C33" s="18" t="s">
        <v>392</v>
      </c>
      <c r="D33" s="18"/>
      <c r="E33" s="18"/>
      <c r="F33" s="17"/>
      <c r="G33" s="17" t="s">
        <v>442</v>
      </c>
      <c r="H33" s="17" t="s">
        <v>151</v>
      </c>
      <c r="I33" s="16"/>
      <c r="J33" s="16"/>
    </row>
    <row r="34" spans="1:10" ht="23.25" x14ac:dyDescent="0.25">
      <c r="B34" s="18" t="s">
        <v>156</v>
      </c>
      <c r="C34" s="18" t="s">
        <v>392</v>
      </c>
      <c r="D34" s="18"/>
      <c r="E34" s="18"/>
      <c r="F34" s="17"/>
      <c r="G34" s="17" t="s">
        <v>441</v>
      </c>
      <c r="H34" s="17" t="s">
        <v>151</v>
      </c>
      <c r="I34" s="15">
        <v>190</v>
      </c>
      <c r="J34" s="15">
        <v>190</v>
      </c>
    </row>
    <row r="35" spans="1:10" ht="23.25" x14ac:dyDescent="0.25">
      <c r="B35" s="18" t="s">
        <v>156</v>
      </c>
      <c r="C35" s="18" t="s">
        <v>392</v>
      </c>
      <c r="D35" s="18"/>
      <c r="E35" s="18"/>
      <c r="F35" s="17"/>
      <c r="G35" s="17" t="s">
        <v>440</v>
      </c>
      <c r="H35" s="17" t="s">
        <v>151</v>
      </c>
      <c r="I35" s="15">
        <v>30</v>
      </c>
      <c r="J35" s="15">
        <v>220</v>
      </c>
    </row>
    <row r="36" spans="1:10" x14ac:dyDescent="0.25">
      <c r="B36" s="18" t="s">
        <v>156</v>
      </c>
      <c r="C36" s="18" t="s">
        <v>207</v>
      </c>
      <c r="D36" s="18">
        <v>1003</v>
      </c>
      <c r="E36" s="18" t="s">
        <v>206</v>
      </c>
      <c r="F36" s="17"/>
      <c r="G36" s="17" t="s">
        <v>439</v>
      </c>
      <c r="H36" s="17" t="s">
        <v>204</v>
      </c>
      <c r="I36" s="15">
        <v>20</v>
      </c>
      <c r="J36" s="15">
        <v>240</v>
      </c>
    </row>
    <row r="37" spans="1:10" ht="23.25" x14ac:dyDescent="0.25">
      <c r="B37" s="18" t="s">
        <v>156</v>
      </c>
      <c r="C37" s="18" t="s">
        <v>392</v>
      </c>
      <c r="D37" s="18"/>
      <c r="E37" s="18"/>
      <c r="F37" s="17"/>
      <c r="G37" s="17" t="s">
        <v>438</v>
      </c>
      <c r="H37" s="17" t="s">
        <v>151</v>
      </c>
      <c r="I37" s="15">
        <v>3706</v>
      </c>
      <c r="J37" s="15">
        <v>3946</v>
      </c>
    </row>
    <row r="38" spans="1:10" ht="23.25" x14ac:dyDescent="0.25">
      <c r="B38" s="18" t="s">
        <v>195</v>
      </c>
      <c r="C38" s="18" t="s">
        <v>392</v>
      </c>
      <c r="D38" s="18"/>
      <c r="E38" s="18"/>
      <c r="F38" s="17"/>
      <c r="G38" s="17" t="s">
        <v>437</v>
      </c>
      <c r="H38" s="17" t="s">
        <v>151</v>
      </c>
      <c r="I38" s="15">
        <v>2797</v>
      </c>
      <c r="J38" s="15">
        <v>6743</v>
      </c>
    </row>
    <row r="39" spans="1:10" ht="23.25" x14ac:dyDescent="0.25">
      <c r="B39" s="18" t="s">
        <v>174</v>
      </c>
      <c r="C39" s="18" t="s">
        <v>392</v>
      </c>
      <c r="D39" s="18"/>
      <c r="E39" s="18"/>
      <c r="F39" s="17"/>
      <c r="G39" s="17" t="s">
        <v>436</v>
      </c>
      <c r="H39" s="17" t="s">
        <v>151</v>
      </c>
      <c r="I39" s="15">
        <v>1739.46</v>
      </c>
      <c r="J39" s="15">
        <v>8482.4599999999991</v>
      </c>
    </row>
    <row r="40" spans="1:10" ht="23.25" x14ac:dyDescent="0.25">
      <c r="B40" s="18" t="s">
        <v>174</v>
      </c>
      <c r="C40" s="18" t="s">
        <v>184</v>
      </c>
      <c r="D40" s="18">
        <v>1</v>
      </c>
      <c r="E40" s="18"/>
      <c r="F40" s="17"/>
      <c r="G40" s="17" t="s">
        <v>435</v>
      </c>
      <c r="H40" s="17" t="s">
        <v>182</v>
      </c>
      <c r="I40" s="15">
        <v>-19</v>
      </c>
      <c r="J40" s="15">
        <v>8463.4599999999991</v>
      </c>
    </row>
    <row r="41" spans="1:10" ht="23.25" x14ac:dyDescent="0.25">
      <c r="B41" s="18" t="s">
        <v>192</v>
      </c>
      <c r="C41" s="18" t="s">
        <v>392</v>
      </c>
      <c r="D41" s="18"/>
      <c r="E41" s="18"/>
      <c r="F41" s="17"/>
      <c r="G41" s="17" t="s">
        <v>434</v>
      </c>
      <c r="H41" s="17" t="s">
        <v>151</v>
      </c>
      <c r="I41" s="15">
        <v>1977.2</v>
      </c>
      <c r="J41" s="15">
        <v>10440.66</v>
      </c>
    </row>
    <row r="42" spans="1:10" x14ac:dyDescent="0.25">
      <c r="A42" s="14" t="s">
        <v>433</v>
      </c>
      <c r="I42" s="13">
        <v>10440.66</v>
      </c>
    </row>
    <row r="43" spans="1:10" x14ac:dyDescent="0.25">
      <c r="A43" s="14" t="s">
        <v>432</v>
      </c>
    </row>
    <row r="44" spans="1:10" ht="23.25" x14ac:dyDescent="0.25">
      <c r="B44" s="18" t="s">
        <v>192</v>
      </c>
      <c r="C44" s="18" t="s">
        <v>392</v>
      </c>
      <c r="D44" s="18"/>
      <c r="E44" s="18"/>
      <c r="F44" s="17"/>
      <c r="G44" s="17" t="s">
        <v>431</v>
      </c>
      <c r="H44" s="17" t="s">
        <v>151</v>
      </c>
      <c r="I44" s="15">
        <v>200</v>
      </c>
      <c r="J44" s="15">
        <v>200</v>
      </c>
    </row>
    <row r="45" spans="1:10" ht="23.25" x14ac:dyDescent="0.25">
      <c r="B45" s="18" t="s">
        <v>192</v>
      </c>
      <c r="C45" s="18" t="s">
        <v>392</v>
      </c>
      <c r="D45" s="18"/>
      <c r="E45" s="18"/>
      <c r="F45" s="17"/>
      <c r="G45" s="17" t="s">
        <v>430</v>
      </c>
      <c r="H45" s="17" t="s">
        <v>151</v>
      </c>
      <c r="I45" s="15">
        <v>15</v>
      </c>
      <c r="J45" s="15">
        <v>215</v>
      </c>
    </row>
    <row r="46" spans="1:10" x14ac:dyDescent="0.25">
      <c r="A46" s="14" t="s">
        <v>429</v>
      </c>
      <c r="I46" s="13">
        <v>215</v>
      </c>
    </row>
    <row r="47" spans="1:10" x14ac:dyDescent="0.25">
      <c r="A47" s="14" t="s">
        <v>428</v>
      </c>
      <c r="I47" s="13">
        <v>15224.06</v>
      </c>
    </row>
    <row r="48" spans="1:10" x14ac:dyDescent="0.25">
      <c r="A48" s="14" t="s">
        <v>427</v>
      </c>
    </row>
    <row r="49" spans="1:10" x14ac:dyDescent="0.25">
      <c r="A49" s="14" t="s">
        <v>426</v>
      </c>
    </row>
    <row r="50" spans="1:10" ht="23.25" x14ac:dyDescent="0.25">
      <c r="B50" s="18" t="s">
        <v>181</v>
      </c>
      <c r="C50" s="18" t="s">
        <v>392</v>
      </c>
      <c r="D50" s="18"/>
      <c r="E50" s="18"/>
      <c r="F50" s="17"/>
      <c r="G50" s="17" t="s">
        <v>425</v>
      </c>
      <c r="H50" s="17" t="s">
        <v>399</v>
      </c>
      <c r="I50" s="15">
        <v>0.01</v>
      </c>
      <c r="J50" s="15">
        <v>0.01</v>
      </c>
    </row>
    <row r="51" spans="1:10" x14ac:dyDescent="0.25">
      <c r="A51" s="14" t="s">
        <v>424</v>
      </c>
      <c r="I51" s="13">
        <v>0.01</v>
      </c>
    </row>
    <row r="52" spans="1:10" x14ac:dyDescent="0.25">
      <c r="A52" s="14" t="s">
        <v>423</v>
      </c>
    </row>
    <row r="53" spans="1:10" ht="23.25" x14ac:dyDescent="0.25">
      <c r="B53" s="18" t="s">
        <v>422</v>
      </c>
      <c r="C53" s="18" t="s">
        <v>392</v>
      </c>
      <c r="D53" s="18"/>
      <c r="E53" s="18" t="s">
        <v>421</v>
      </c>
      <c r="F53" s="17"/>
      <c r="G53" s="17" t="s">
        <v>420</v>
      </c>
      <c r="H53" s="17" t="s">
        <v>419</v>
      </c>
      <c r="I53" s="15">
        <v>37.659999999999997</v>
      </c>
      <c r="J53" s="15">
        <v>37.659999999999997</v>
      </c>
    </row>
    <row r="54" spans="1:10" x14ac:dyDescent="0.25">
      <c r="A54" s="14" t="s">
        <v>418</v>
      </c>
      <c r="I54" s="13">
        <v>37.659999999999997</v>
      </c>
    </row>
    <row r="55" spans="1:10" x14ac:dyDescent="0.25">
      <c r="A55" s="14" t="s">
        <v>417</v>
      </c>
      <c r="I55" s="13">
        <v>37.67</v>
      </c>
    </row>
    <row r="56" spans="1:10" x14ac:dyDescent="0.25">
      <c r="A56" s="14" t="s">
        <v>416</v>
      </c>
    </row>
    <row r="57" spans="1:10" ht="23.25" x14ac:dyDescent="0.25">
      <c r="B57" s="18" t="s">
        <v>156</v>
      </c>
      <c r="C57" s="18" t="s">
        <v>392</v>
      </c>
      <c r="D57" s="18"/>
      <c r="E57" s="18"/>
      <c r="F57" s="17"/>
      <c r="G57" s="17" t="s">
        <v>415</v>
      </c>
      <c r="H57" s="17" t="s">
        <v>151</v>
      </c>
      <c r="I57" s="15">
        <v>208</v>
      </c>
      <c r="J57" s="15">
        <v>208</v>
      </c>
    </row>
    <row r="58" spans="1:10" ht="23.25" x14ac:dyDescent="0.25">
      <c r="B58" s="18" t="s">
        <v>195</v>
      </c>
      <c r="C58" s="18" t="s">
        <v>392</v>
      </c>
      <c r="D58" s="18"/>
      <c r="E58" s="18"/>
      <c r="F58" s="17"/>
      <c r="G58" s="17" t="s">
        <v>414</v>
      </c>
      <c r="H58" s="17" t="s">
        <v>151</v>
      </c>
      <c r="I58" s="15">
        <v>15</v>
      </c>
      <c r="J58" s="15">
        <v>223</v>
      </c>
    </row>
    <row r="59" spans="1:10" ht="23.25" x14ac:dyDescent="0.25">
      <c r="B59" s="18" t="s">
        <v>174</v>
      </c>
      <c r="C59" s="18" t="s">
        <v>392</v>
      </c>
      <c r="D59" s="18"/>
      <c r="E59" s="18"/>
      <c r="F59" s="17"/>
      <c r="G59" s="17" t="s">
        <v>413</v>
      </c>
      <c r="H59" s="17" t="s">
        <v>151</v>
      </c>
      <c r="I59" s="15">
        <v>46.91</v>
      </c>
      <c r="J59" s="15">
        <v>269.91000000000003</v>
      </c>
    </row>
    <row r="60" spans="1:10" ht="23.25" x14ac:dyDescent="0.25">
      <c r="B60" s="18" t="s">
        <v>192</v>
      </c>
      <c r="C60" s="18" t="s">
        <v>392</v>
      </c>
      <c r="D60" s="18"/>
      <c r="E60" s="18"/>
      <c r="F60" s="17"/>
      <c r="G60" s="17" t="s">
        <v>412</v>
      </c>
      <c r="H60" s="17" t="s">
        <v>151</v>
      </c>
      <c r="I60" s="15">
        <v>373</v>
      </c>
      <c r="J60" s="15">
        <v>642.91</v>
      </c>
    </row>
    <row r="61" spans="1:10" x14ac:dyDescent="0.25">
      <c r="A61" s="14" t="s">
        <v>411</v>
      </c>
      <c r="I61" s="13">
        <v>642.91</v>
      </c>
    </row>
    <row r="62" spans="1:10" x14ac:dyDescent="0.25">
      <c r="A62" s="14" t="s">
        <v>410</v>
      </c>
      <c r="I62" s="13">
        <v>15904.64</v>
      </c>
    </row>
    <row r="63" spans="1:10" x14ac:dyDescent="0.25">
      <c r="A63" s="14" t="s">
        <v>409</v>
      </c>
    </row>
    <row r="64" spans="1:10" x14ac:dyDescent="0.25">
      <c r="A64" s="14" t="s">
        <v>408</v>
      </c>
    </row>
    <row r="65" spans="1:10" x14ac:dyDescent="0.25">
      <c r="A65" s="14" t="s">
        <v>407</v>
      </c>
    </row>
    <row r="66" spans="1:10" x14ac:dyDescent="0.25">
      <c r="B66" s="18" t="s">
        <v>305</v>
      </c>
      <c r="C66" s="18" t="s">
        <v>256</v>
      </c>
      <c r="D66" s="18" t="s">
        <v>406</v>
      </c>
      <c r="E66" s="18"/>
      <c r="F66" s="17"/>
      <c r="G66" s="17"/>
      <c r="H66" s="17" t="s">
        <v>265</v>
      </c>
      <c r="I66" s="15">
        <v>38.65</v>
      </c>
      <c r="J66" s="15">
        <v>38.65</v>
      </c>
    </row>
    <row r="67" spans="1:10" ht="23.25" x14ac:dyDescent="0.25">
      <c r="B67" s="18" t="s">
        <v>195</v>
      </c>
      <c r="C67" s="18" t="s">
        <v>154</v>
      </c>
      <c r="D67" s="18" t="s">
        <v>405</v>
      </c>
      <c r="E67" s="18"/>
      <c r="F67" s="17"/>
      <c r="G67" s="17" t="s">
        <v>404</v>
      </c>
      <c r="H67" s="17" t="s">
        <v>151</v>
      </c>
      <c r="I67" s="15">
        <v>20</v>
      </c>
      <c r="J67" s="15">
        <v>58.65</v>
      </c>
    </row>
    <row r="68" spans="1:10" ht="23.25" x14ac:dyDescent="0.25">
      <c r="B68" s="18" t="s">
        <v>403</v>
      </c>
      <c r="C68" s="18" t="s">
        <v>256</v>
      </c>
      <c r="D68" s="18"/>
      <c r="E68" s="18"/>
      <c r="F68" s="17"/>
      <c r="G68" s="17" t="s">
        <v>402</v>
      </c>
      <c r="H68" s="17" t="s">
        <v>253</v>
      </c>
      <c r="I68" s="15">
        <v>30.89</v>
      </c>
      <c r="J68" s="15">
        <v>89.54</v>
      </c>
    </row>
    <row r="69" spans="1:10" ht="23.25" x14ac:dyDescent="0.25">
      <c r="B69" s="18" t="s">
        <v>181</v>
      </c>
      <c r="C69" s="18" t="s">
        <v>256</v>
      </c>
      <c r="D69" s="18"/>
      <c r="E69" s="18"/>
      <c r="F69" s="17"/>
      <c r="G69" s="17" t="s">
        <v>401</v>
      </c>
      <c r="H69" s="17" t="s">
        <v>399</v>
      </c>
      <c r="I69" s="15">
        <v>5</v>
      </c>
      <c r="J69" s="15">
        <v>94.54</v>
      </c>
    </row>
    <row r="70" spans="1:10" ht="23.25" x14ac:dyDescent="0.25">
      <c r="B70" s="18" t="s">
        <v>181</v>
      </c>
      <c r="C70" s="18" t="s">
        <v>392</v>
      </c>
      <c r="D70" s="18"/>
      <c r="E70" s="18"/>
      <c r="F70" s="17"/>
      <c r="G70" s="17" t="s">
        <v>400</v>
      </c>
      <c r="H70" s="17" t="s">
        <v>399</v>
      </c>
      <c r="I70" s="15">
        <v>-5</v>
      </c>
      <c r="J70" s="15">
        <v>89.54</v>
      </c>
    </row>
    <row r="71" spans="1:10" x14ac:dyDescent="0.25">
      <c r="A71" s="14" t="s">
        <v>398</v>
      </c>
      <c r="I71" s="13">
        <v>89.54</v>
      </c>
    </row>
    <row r="72" spans="1:10" x14ac:dyDescent="0.25">
      <c r="A72" s="14" t="s">
        <v>397</v>
      </c>
    </row>
    <row r="73" spans="1:10" ht="23.25" x14ac:dyDescent="0.25">
      <c r="B73" s="18" t="s">
        <v>378</v>
      </c>
      <c r="C73" s="18" t="s">
        <v>392</v>
      </c>
      <c r="D73" s="18"/>
      <c r="E73" s="18"/>
      <c r="F73" s="17"/>
      <c r="G73" s="17" t="s">
        <v>396</v>
      </c>
      <c r="H73" s="17" t="s">
        <v>151</v>
      </c>
      <c r="I73" s="15">
        <v>4.03</v>
      </c>
      <c r="J73" s="15">
        <v>4.03</v>
      </c>
    </row>
    <row r="74" spans="1:10" ht="23.25" x14ac:dyDescent="0.25">
      <c r="B74" s="18" t="s">
        <v>156</v>
      </c>
      <c r="C74" s="18" t="s">
        <v>392</v>
      </c>
      <c r="D74" s="18"/>
      <c r="E74" s="18"/>
      <c r="F74" s="17"/>
      <c r="G74" s="17" t="s">
        <v>393</v>
      </c>
      <c r="H74" s="17" t="s">
        <v>151</v>
      </c>
      <c r="I74" s="15">
        <v>16.75</v>
      </c>
      <c r="J74" s="15">
        <v>20.78</v>
      </c>
    </row>
    <row r="75" spans="1:10" ht="23.25" x14ac:dyDescent="0.25">
      <c r="B75" s="18" t="s">
        <v>195</v>
      </c>
      <c r="C75" s="18" t="s">
        <v>392</v>
      </c>
      <c r="D75" s="18"/>
      <c r="E75" s="18"/>
      <c r="F75" s="17"/>
      <c r="G75" s="17" t="s">
        <v>393</v>
      </c>
      <c r="H75" s="17" t="s">
        <v>151</v>
      </c>
      <c r="I75" s="15">
        <v>3.65</v>
      </c>
      <c r="J75" s="15">
        <v>24.43</v>
      </c>
    </row>
    <row r="76" spans="1:10" ht="23.25" x14ac:dyDescent="0.25">
      <c r="B76" s="18" t="s">
        <v>226</v>
      </c>
      <c r="C76" s="18" t="s">
        <v>154</v>
      </c>
      <c r="D76" s="18" t="s">
        <v>388</v>
      </c>
      <c r="E76" s="18" t="s">
        <v>395</v>
      </c>
      <c r="F76" s="17"/>
      <c r="G76" s="17" t="s">
        <v>394</v>
      </c>
      <c r="H76" s="17" t="s">
        <v>151</v>
      </c>
      <c r="I76" s="15">
        <v>7.75</v>
      </c>
      <c r="J76" s="15">
        <v>32.18</v>
      </c>
    </row>
    <row r="77" spans="1:10" ht="23.25" x14ac:dyDescent="0.25">
      <c r="B77" s="18" t="s">
        <v>174</v>
      </c>
      <c r="C77" s="18" t="s">
        <v>392</v>
      </c>
      <c r="D77" s="18"/>
      <c r="E77" s="18"/>
      <c r="F77" s="17"/>
      <c r="G77" s="17" t="s">
        <v>393</v>
      </c>
      <c r="H77" s="17" t="s">
        <v>151</v>
      </c>
      <c r="I77" s="15">
        <v>18.41</v>
      </c>
      <c r="J77" s="15">
        <v>50.59</v>
      </c>
    </row>
    <row r="78" spans="1:10" ht="23.25" x14ac:dyDescent="0.25">
      <c r="B78" s="18" t="s">
        <v>208</v>
      </c>
      <c r="C78" s="18" t="s">
        <v>392</v>
      </c>
      <c r="D78" s="18"/>
      <c r="E78" s="18"/>
      <c r="F78" s="17"/>
      <c r="G78" s="17" t="s">
        <v>391</v>
      </c>
      <c r="H78" s="17" t="s">
        <v>151</v>
      </c>
      <c r="I78" s="15">
        <v>0.3</v>
      </c>
      <c r="J78" s="15">
        <v>50.89</v>
      </c>
    </row>
    <row r="79" spans="1:10" x14ac:dyDescent="0.25">
      <c r="A79" s="14" t="s">
        <v>390</v>
      </c>
      <c r="I79" s="13">
        <v>50.89</v>
      </c>
    </row>
    <row r="80" spans="1:10" x14ac:dyDescent="0.25">
      <c r="A80" s="14" t="s">
        <v>389</v>
      </c>
    </row>
    <row r="81" spans="1:10" ht="23.25" x14ac:dyDescent="0.25">
      <c r="B81" s="18" t="s">
        <v>378</v>
      </c>
      <c r="C81" s="18" t="s">
        <v>154</v>
      </c>
      <c r="D81" s="18" t="s">
        <v>388</v>
      </c>
      <c r="E81" s="18" t="s">
        <v>387</v>
      </c>
      <c r="F81" s="17"/>
      <c r="G81" s="17" t="s">
        <v>386</v>
      </c>
      <c r="H81" s="17" t="s">
        <v>151</v>
      </c>
      <c r="I81" s="15">
        <v>191.92</v>
      </c>
      <c r="J81" s="15">
        <v>191.92</v>
      </c>
    </row>
    <row r="82" spans="1:10" x14ac:dyDescent="0.25">
      <c r="A82" s="14" t="s">
        <v>385</v>
      </c>
      <c r="I82" s="13">
        <v>191.92</v>
      </c>
    </row>
    <row r="83" spans="1:10" x14ac:dyDescent="0.25">
      <c r="A83" s="14" t="s">
        <v>384</v>
      </c>
    </row>
    <row r="84" spans="1:10" x14ac:dyDescent="0.25">
      <c r="B84" s="18" t="s">
        <v>383</v>
      </c>
      <c r="C84" s="18" t="s">
        <v>168</v>
      </c>
      <c r="D84" s="18"/>
      <c r="E84" s="18" t="s">
        <v>382</v>
      </c>
      <c r="F84" s="17"/>
      <c r="G84" s="17" t="s">
        <v>381</v>
      </c>
      <c r="H84" s="17" t="s">
        <v>164</v>
      </c>
      <c r="I84" s="15">
        <v>43.19</v>
      </c>
      <c r="J84" s="15">
        <v>43.19</v>
      </c>
    </row>
    <row r="85" spans="1:10" x14ac:dyDescent="0.25">
      <c r="A85" s="14" t="s">
        <v>380</v>
      </c>
      <c r="I85" s="13">
        <v>43.19</v>
      </c>
    </row>
    <row r="86" spans="1:10" x14ac:dyDescent="0.25">
      <c r="A86" s="14" t="s">
        <v>379</v>
      </c>
    </row>
    <row r="87" spans="1:10" x14ac:dyDescent="0.25">
      <c r="B87" s="18" t="s">
        <v>378</v>
      </c>
      <c r="C87" s="18" t="s">
        <v>168</v>
      </c>
      <c r="D87" s="18"/>
      <c r="E87" s="18" t="s">
        <v>372</v>
      </c>
      <c r="F87" s="17"/>
      <c r="G87" s="17" t="s">
        <v>377</v>
      </c>
      <c r="H87" s="17" t="s">
        <v>164</v>
      </c>
      <c r="I87" s="15">
        <v>190</v>
      </c>
      <c r="J87" s="15">
        <v>190</v>
      </c>
    </row>
    <row r="88" spans="1:10" x14ac:dyDescent="0.25">
      <c r="B88" s="18" t="s">
        <v>195</v>
      </c>
      <c r="C88" s="18" t="s">
        <v>168</v>
      </c>
      <c r="D88" s="18" t="s">
        <v>320</v>
      </c>
      <c r="E88" s="18" t="s">
        <v>375</v>
      </c>
      <c r="F88" s="17"/>
      <c r="G88" s="17" t="s">
        <v>376</v>
      </c>
      <c r="H88" s="17" t="s">
        <v>164</v>
      </c>
      <c r="I88" s="15">
        <v>45</v>
      </c>
      <c r="J88" s="15">
        <v>235</v>
      </c>
    </row>
    <row r="89" spans="1:10" x14ac:dyDescent="0.25">
      <c r="B89" s="18" t="s">
        <v>195</v>
      </c>
      <c r="C89" s="18" t="s">
        <v>168</v>
      </c>
      <c r="D89" s="18" t="s">
        <v>320</v>
      </c>
      <c r="E89" s="18" t="s">
        <v>375</v>
      </c>
      <c r="F89" s="17"/>
      <c r="G89" s="17" t="s">
        <v>374</v>
      </c>
      <c r="H89" s="17" t="s">
        <v>164</v>
      </c>
      <c r="I89" s="15">
        <v>208.46</v>
      </c>
      <c r="J89" s="15">
        <v>443.46</v>
      </c>
    </row>
    <row r="90" spans="1:10" ht="23.25" x14ac:dyDescent="0.25">
      <c r="B90" s="18" t="s">
        <v>211</v>
      </c>
      <c r="C90" s="18" t="s">
        <v>168</v>
      </c>
      <c r="D90" s="18" t="s">
        <v>373</v>
      </c>
      <c r="E90" s="18" t="s">
        <v>372</v>
      </c>
      <c r="F90" s="17"/>
      <c r="G90" s="17" t="s">
        <v>371</v>
      </c>
      <c r="H90" s="17" t="s">
        <v>164</v>
      </c>
      <c r="I90" s="15">
        <v>199.5</v>
      </c>
      <c r="J90" s="15">
        <v>642.96</v>
      </c>
    </row>
    <row r="91" spans="1:10" x14ac:dyDescent="0.25">
      <c r="A91" s="14" t="s">
        <v>370</v>
      </c>
      <c r="I91" s="13">
        <v>642.96</v>
      </c>
    </row>
    <row r="92" spans="1:10" x14ac:dyDescent="0.25">
      <c r="A92" s="14" t="s">
        <v>369</v>
      </c>
    </row>
    <row r="93" spans="1:10" x14ac:dyDescent="0.25">
      <c r="B93" s="18" t="s">
        <v>169</v>
      </c>
      <c r="C93" s="18" t="s">
        <v>256</v>
      </c>
      <c r="D93" s="18" t="s">
        <v>268</v>
      </c>
      <c r="E93" s="18" t="s">
        <v>267</v>
      </c>
      <c r="F93" s="17"/>
      <c r="G93" s="17" t="s">
        <v>368</v>
      </c>
      <c r="H93" s="17" t="s">
        <v>265</v>
      </c>
      <c r="I93" s="15">
        <v>18.579999999999998</v>
      </c>
      <c r="J93" s="15">
        <v>18.579999999999998</v>
      </c>
    </row>
    <row r="94" spans="1:10" x14ac:dyDescent="0.25">
      <c r="A94" s="14" t="s">
        <v>367</v>
      </c>
      <c r="I94" s="13">
        <v>18.579999999999998</v>
      </c>
    </row>
    <row r="95" spans="1:10" x14ac:dyDescent="0.25">
      <c r="A95" s="14" t="s">
        <v>366</v>
      </c>
    </row>
    <row r="96" spans="1:10" x14ac:dyDescent="0.25">
      <c r="A96" s="14" t="s">
        <v>365</v>
      </c>
    </row>
    <row r="97" spans="1:10" x14ac:dyDescent="0.25">
      <c r="B97" s="18" t="s">
        <v>156</v>
      </c>
      <c r="C97" s="18" t="s">
        <v>168</v>
      </c>
      <c r="D97" s="18"/>
      <c r="E97" s="18" t="s">
        <v>364</v>
      </c>
      <c r="F97" s="17"/>
      <c r="G97" s="17" t="s">
        <v>363</v>
      </c>
      <c r="H97" s="17" t="s">
        <v>164</v>
      </c>
      <c r="I97" s="15">
        <v>48.26</v>
      </c>
      <c r="J97" s="15">
        <v>48.26</v>
      </c>
    </row>
    <row r="98" spans="1:10" x14ac:dyDescent="0.25">
      <c r="A98" s="14" t="s">
        <v>362</v>
      </c>
      <c r="I98" s="13">
        <v>48.26</v>
      </c>
    </row>
    <row r="99" spans="1:10" x14ac:dyDescent="0.25">
      <c r="A99" s="14" t="s">
        <v>361</v>
      </c>
    </row>
    <row r="100" spans="1:10" x14ac:dyDescent="0.25">
      <c r="B100" s="18" t="s">
        <v>360</v>
      </c>
      <c r="C100" s="18" t="s">
        <v>168</v>
      </c>
      <c r="D100" s="18" t="s">
        <v>320</v>
      </c>
      <c r="E100" s="18" t="s">
        <v>359</v>
      </c>
      <c r="F100" s="17"/>
      <c r="G100" s="17" t="s">
        <v>358</v>
      </c>
      <c r="H100" s="17" t="s">
        <v>164</v>
      </c>
      <c r="I100" s="15">
        <v>251.46</v>
      </c>
      <c r="J100" s="15">
        <v>251.46</v>
      </c>
    </row>
    <row r="101" spans="1:10" x14ac:dyDescent="0.25">
      <c r="A101" s="14" t="s">
        <v>357</v>
      </c>
      <c r="I101" s="13">
        <v>251.46</v>
      </c>
    </row>
    <row r="102" spans="1:10" x14ac:dyDescent="0.25">
      <c r="A102" s="14" t="s">
        <v>356</v>
      </c>
      <c r="I102" s="13">
        <v>299.72000000000003</v>
      </c>
    </row>
    <row r="103" spans="1:10" x14ac:dyDescent="0.25">
      <c r="A103" s="14" t="s">
        <v>355</v>
      </c>
      <c r="I103" s="13">
        <v>1336.8</v>
      </c>
    </row>
    <row r="104" spans="1:10" x14ac:dyDescent="0.25">
      <c r="A104" s="14" t="s">
        <v>354</v>
      </c>
    </row>
    <row r="105" spans="1:10" x14ac:dyDescent="0.25">
      <c r="A105" s="14" t="s">
        <v>353</v>
      </c>
    </row>
    <row r="106" spans="1:10" x14ac:dyDescent="0.25">
      <c r="B106" s="18" t="s">
        <v>174</v>
      </c>
      <c r="C106" s="18" t="s">
        <v>168</v>
      </c>
      <c r="D106" s="18"/>
      <c r="E106" s="18" t="s">
        <v>352</v>
      </c>
      <c r="F106" s="17"/>
      <c r="G106" s="17" t="s">
        <v>351</v>
      </c>
      <c r="H106" s="17" t="s">
        <v>164</v>
      </c>
      <c r="I106" s="15">
        <v>210</v>
      </c>
      <c r="J106" s="15">
        <v>210</v>
      </c>
    </row>
    <row r="107" spans="1:10" x14ac:dyDescent="0.25">
      <c r="A107" s="14" t="s">
        <v>350</v>
      </c>
      <c r="I107" s="13">
        <v>210</v>
      </c>
    </row>
    <row r="108" spans="1:10" x14ac:dyDescent="0.25">
      <c r="A108" s="14" t="s">
        <v>349</v>
      </c>
      <c r="I108" s="13">
        <v>210</v>
      </c>
    </row>
    <row r="109" spans="1:10" x14ac:dyDescent="0.25">
      <c r="A109" s="14" t="s">
        <v>348</v>
      </c>
    </row>
    <row r="110" spans="1:10" x14ac:dyDescent="0.25">
      <c r="A110" s="14" t="s">
        <v>347</v>
      </c>
    </row>
    <row r="111" spans="1:10" x14ac:dyDescent="0.25">
      <c r="B111" s="18" t="s">
        <v>346</v>
      </c>
      <c r="C111" s="18" t="s">
        <v>168</v>
      </c>
      <c r="D111" s="18" t="s">
        <v>345</v>
      </c>
      <c r="E111" s="18" t="s">
        <v>344</v>
      </c>
      <c r="F111" s="17"/>
      <c r="G111" s="17" t="s">
        <v>343</v>
      </c>
      <c r="H111" s="17" t="s">
        <v>164</v>
      </c>
      <c r="I111" s="15">
        <v>41.84</v>
      </c>
      <c r="J111" s="15">
        <v>41.84</v>
      </c>
    </row>
    <row r="112" spans="1:10" x14ac:dyDescent="0.25">
      <c r="A112" s="14" t="s">
        <v>342</v>
      </c>
      <c r="I112" s="13">
        <v>41.84</v>
      </c>
    </row>
    <row r="113" spans="1:10" x14ac:dyDescent="0.25">
      <c r="A113" s="14" t="s">
        <v>341</v>
      </c>
    </row>
    <row r="114" spans="1:10" ht="23.25" x14ac:dyDescent="0.25">
      <c r="B114" s="18" t="s">
        <v>340</v>
      </c>
      <c r="C114" s="18" t="s">
        <v>168</v>
      </c>
      <c r="D114" s="18"/>
      <c r="E114" s="18" t="s">
        <v>339</v>
      </c>
      <c r="F114" s="17"/>
      <c r="G114" s="17" t="s">
        <v>338</v>
      </c>
      <c r="H114" s="17" t="s">
        <v>164</v>
      </c>
      <c r="I114" s="15">
        <v>297.24</v>
      </c>
      <c r="J114" s="15">
        <v>297.24</v>
      </c>
    </row>
    <row r="115" spans="1:10" x14ac:dyDescent="0.25">
      <c r="A115" s="14" t="s">
        <v>337</v>
      </c>
      <c r="I115" s="13">
        <v>297.24</v>
      </c>
    </row>
    <row r="116" spans="1:10" x14ac:dyDescent="0.25">
      <c r="A116" s="14" t="s">
        <v>336</v>
      </c>
      <c r="I116" s="13">
        <v>339.08</v>
      </c>
    </row>
    <row r="117" spans="1:10" x14ac:dyDescent="0.25">
      <c r="A117" s="14" t="s">
        <v>335</v>
      </c>
    </row>
    <row r="118" spans="1:10" x14ac:dyDescent="0.25">
      <c r="A118" s="14" t="s">
        <v>334</v>
      </c>
    </row>
    <row r="119" spans="1:10" ht="23.25" x14ac:dyDescent="0.25">
      <c r="B119" s="18" t="s">
        <v>248</v>
      </c>
      <c r="C119" s="18" t="s">
        <v>154</v>
      </c>
      <c r="D119" s="18">
        <v>15424</v>
      </c>
      <c r="E119" s="18" t="s">
        <v>331</v>
      </c>
      <c r="F119" s="17"/>
      <c r="G119" s="17" t="s">
        <v>333</v>
      </c>
      <c r="H119" s="17" t="s">
        <v>151</v>
      </c>
      <c r="I119" s="15">
        <v>110</v>
      </c>
      <c r="J119" s="15">
        <v>110</v>
      </c>
    </row>
    <row r="120" spans="1:10" ht="23.25" x14ac:dyDescent="0.25">
      <c r="B120" s="18" t="s">
        <v>213</v>
      </c>
      <c r="C120" s="18" t="s">
        <v>154</v>
      </c>
      <c r="D120" s="18">
        <v>15443</v>
      </c>
      <c r="E120" s="18" t="s">
        <v>331</v>
      </c>
      <c r="F120" s="17"/>
      <c r="G120" s="17" t="s">
        <v>332</v>
      </c>
      <c r="H120" s="17" t="s">
        <v>151</v>
      </c>
      <c r="I120" s="15">
        <v>110</v>
      </c>
      <c r="J120" s="15">
        <v>220</v>
      </c>
    </row>
    <row r="121" spans="1:10" ht="23.25" x14ac:dyDescent="0.25">
      <c r="B121" s="18" t="s">
        <v>208</v>
      </c>
      <c r="C121" s="18" t="s">
        <v>154</v>
      </c>
      <c r="D121" s="18">
        <v>15472</v>
      </c>
      <c r="E121" s="18" t="s">
        <v>331</v>
      </c>
      <c r="F121" s="17"/>
      <c r="G121" s="17" t="s">
        <v>330</v>
      </c>
      <c r="H121" s="17" t="s">
        <v>151</v>
      </c>
      <c r="I121" s="15">
        <v>110</v>
      </c>
      <c r="J121" s="15">
        <v>330</v>
      </c>
    </row>
    <row r="122" spans="1:10" x14ac:dyDescent="0.25">
      <c r="A122" s="14" t="s">
        <v>329</v>
      </c>
      <c r="I122" s="13">
        <v>330</v>
      </c>
    </row>
    <row r="123" spans="1:10" x14ac:dyDescent="0.25">
      <c r="A123" s="14" t="s">
        <v>328</v>
      </c>
    </row>
    <row r="124" spans="1:10" x14ac:dyDescent="0.25">
      <c r="B124" s="18" t="s">
        <v>155</v>
      </c>
      <c r="C124" s="18" t="s">
        <v>256</v>
      </c>
      <c r="D124" s="18" t="s">
        <v>327</v>
      </c>
      <c r="E124" s="18" t="s">
        <v>313</v>
      </c>
      <c r="F124" s="17"/>
      <c r="G124" s="17" t="s">
        <v>326</v>
      </c>
      <c r="H124" s="17" t="s">
        <v>325</v>
      </c>
      <c r="I124" s="15">
        <v>45.56</v>
      </c>
      <c r="J124" s="15">
        <v>45.56</v>
      </c>
    </row>
    <row r="125" spans="1:10" x14ac:dyDescent="0.25">
      <c r="B125" s="18" t="s">
        <v>195</v>
      </c>
      <c r="C125" s="18" t="s">
        <v>168</v>
      </c>
      <c r="D125" s="18"/>
      <c r="E125" s="18" t="s">
        <v>324</v>
      </c>
      <c r="F125" s="17"/>
      <c r="G125" s="17" t="s">
        <v>323</v>
      </c>
      <c r="H125" s="17" t="s">
        <v>164</v>
      </c>
      <c r="I125" s="15">
        <v>55.76</v>
      </c>
      <c r="J125" s="15">
        <v>101.32</v>
      </c>
    </row>
    <row r="126" spans="1:10" x14ac:dyDescent="0.25">
      <c r="B126" s="18" t="s">
        <v>195</v>
      </c>
      <c r="C126" s="18" t="s">
        <v>168</v>
      </c>
      <c r="D126" s="18"/>
      <c r="E126" s="18" t="s">
        <v>322</v>
      </c>
      <c r="F126" s="17"/>
      <c r="G126" s="17" t="s">
        <v>321</v>
      </c>
      <c r="H126" s="17" t="s">
        <v>164</v>
      </c>
      <c r="I126" s="15">
        <v>49.38</v>
      </c>
      <c r="J126" s="15">
        <v>150.69999999999999</v>
      </c>
    </row>
    <row r="127" spans="1:10" x14ac:dyDescent="0.25">
      <c r="B127" s="18" t="s">
        <v>192</v>
      </c>
      <c r="C127" s="18" t="s">
        <v>168</v>
      </c>
      <c r="D127" s="18" t="s">
        <v>320</v>
      </c>
      <c r="E127" s="18" t="s">
        <v>319</v>
      </c>
      <c r="F127" s="17"/>
      <c r="G127" s="17" t="s">
        <v>318</v>
      </c>
      <c r="H127" s="17" t="s">
        <v>164</v>
      </c>
      <c r="I127" s="15">
        <v>55.09</v>
      </c>
      <c r="J127" s="15">
        <v>205.79</v>
      </c>
    </row>
    <row r="128" spans="1:10" ht="34.5" x14ac:dyDescent="0.25">
      <c r="B128" s="18" t="s">
        <v>192</v>
      </c>
      <c r="C128" s="18" t="s">
        <v>168</v>
      </c>
      <c r="D128" s="18" t="s">
        <v>317</v>
      </c>
      <c r="E128" s="18" t="s">
        <v>316</v>
      </c>
      <c r="F128" s="17"/>
      <c r="G128" s="17" t="s">
        <v>315</v>
      </c>
      <c r="H128" s="17" t="s">
        <v>164</v>
      </c>
      <c r="I128" s="15">
        <v>478</v>
      </c>
      <c r="J128" s="15">
        <v>683.79</v>
      </c>
    </row>
    <row r="129" spans="1:10" ht="34.5" x14ac:dyDescent="0.25">
      <c r="B129" s="18" t="s">
        <v>192</v>
      </c>
      <c r="C129" s="18" t="s">
        <v>168</v>
      </c>
      <c r="D129" s="18" t="s">
        <v>314</v>
      </c>
      <c r="E129" s="18" t="s">
        <v>313</v>
      </c>
      <c r="F129" s="17" t="s">
        <v>312</v>
      </c>
      <c r="G129" s="17" t="s">
        <v>311</v>
      </c>
      <c r="H129" s="17" t="s">
        <v>164</v>
      </c>
      <c r="I129" s="15">
        <v>45.56</v>
      </c>
      <c r="J129" s="15">
        <v>729.35</v>
      </c>
    </row>
    <row r="130" spans="1:10" x14ac:dyDescent="0.25">
      <c r="A130" s="14" t="s">
        <v>310</v>
      </c>
      <c r="I130" s="13">
        <v>729.35</v>
      </c>
    </row>
    <row r="131" spans="1:10" x14ac:dyDescent="0.25">
      <c r="A131" s="14" t="s">
        <v>309</v>
      </c>
    </row>
    <row r="132" spans="1:10" x14ac:dyDescent="0.25">
      <c r="B132" s="18" t="s">
        <v>169</v>
      </c>
      <c r="C132" s="18" t="s">
        <v>256</v>
      </c>
      <c r="D132" s="18" t="s">
        <v>268</v>
      </c>
      <c r="E132" s="18" t="s">
        <v>267</v>
      </c>
      <c r="F132" s="17"/>
      <c r="G132" s="17" t="s">
        <v>308</v>
      </c>
      <c r="H132" s="17" t="s">
        <v>265</v>
      </c>
      <c r="I132" s="15">
        <v>46.98</v>
      </c>
      <c r="J132" s="15">
        <v>46.98</v>
      </c>
    </row>
    <row r="133" spans="1:10" x14ac:dyDescent="0.25">
      <c r="A133" s="14" t="s">
        <v>307</v>
      </c>
      <c r="I133" s="13">
        <v>46.98</v>
      </c>
    </row>
    <row r="134" spans="1:10" x14ac:dyDescent="0.25">
      <c r="A134" s="14" t="s">
        <v>306</v>
      </c>
    </row>
    <row r="135" spans="1:10" ht="23.25" x14ac:dyDescent="0.25">
      <c r="B135" s="18" t="s">
        <v>305</v>
      </c>
      <c r="C135" s="18" t="s">
        <v>256</v>
      </c>
      <c r="D135" s="18"/>
      <c r="E135" s="18"/>
      <c r="F135" s="17"/>
      <c r="G135" s="17" t="s">
        <v>304</v>
      </c>
      <c r="H135" s="17" t="s">
        <v>253</v>
      </c>
      <c r="I135" s="15">
        <v>19.95</v>
      </c>
      <c r="J135" s="15">
        <v>19.95</v>
      </c>
    </row>
    <row r="136" spans="1:10" x14ac:dyDescent="0.25">
      <c r="B136" s="18" t="s">
        <v>195</v>
      </c>
      <c r="C136" s="18" t="s">
        <v>168</v>
      </c>
      <c r="D136" s="18"/>
      <c r="E136" s="18" t="s">
        <v>302</v>
      </c>
      <c r="F136" s="17"/>
      <c r="G136" s="17" t="s">
        <v>303</v>
      </c>
      <c r="H136" s="17" t="s">
        <v>164</v>
      </c>
      <c r="I136" s="15">
        <v>477</v>
      </c>
      <c r="J136" s="15">
        <v>496.95</v>
      </c>
    </row>
    <row r="137" spans="1:10" x14ac:dyDescent="0.25">
      <c r="B137" s="18" t="s">
        <v>195</v>
      </c>
      <c r="C137" s="18" t="s">
        <v>168</v>
      </c>
      <c r="D137" s="18"/>
      <c r="E137" s="18" t="s">
        <v>302</v>
      </c>
      <c r="F137" s="17"/>
      <c r="G137" s="17" t="s">
        <v>301</v>
      </c>
      <c r="H137" s="17" t="s">
        <v>164</v>
      </c>
      <c r="I137" s="15">
        <v>29.17</v>
      </c>
      <c r="J137" s="15">
        <v>526.12</v>
      </c>
    </row>
    <row r="138" spans="1:10" x14ac:dyDescent="0.25">
      <c r="B138" s="18" t="s">
        <v>226</v>
      </c>
      <c r="C138" s="18" t="s">
        <v>168</v>
      </c>
      <c r="D138" s="18"/>
      <c r="E138" s="18" t="s">
        <v>300</v>
      </c>
      <c r="F138" s="17"/>
      <c r="G138" s="17" t="s">
        <v>299</v>
      </c>
      <c r="H138" s="17" t="s">
        <v>164</v>
      </c>
      <c r="I138" s="15">
        <v>438.49</v>
      </c>
      <c r="J138" s="15">
        <v>964.61</v>
      </c>
    </row>
    <row r="139" spans="1:10" x14ac:dyDescent="0.25">
      <c r="A139" s="14" t="s">
        <v>298</v>
      </c>
      <c r="I139" s="13">
        <v>964.61</v>
      </c>
    </row>
    <row r="140" spans="1:10" x14ac:dyDescent="0.25">
      <c r="A140" s="14" t="s">
        <v>297</v>
      </c>
      <c r="I140" s="13">
        <v>2070.94</v>
      </c>
    </row>
    <row r="141" spans="1:10" x14ac:dyDescent="0.25">
      <c r="A141" s="14" t="s">
        <v>296</v>
      </c>
    </row>
    <row r="142" spans="1:10" ht="23.25" x14ac:dyDescent="0.25">
      <c r="B142" s="18" t="s">
        <v>169</v>
      </c>
      <c r="C142" s="18" t="s">
        <v>154</v>
      </c>
      <c r="D142" s="18">
        <v>15483</v>
      </c>
      <c r="E142" s="18"/>
      <c r="F142" s="17"/>
      <c r="G142" s="17" t="s">
        <v>295</v>
      </c>
      <c r="H142" s="17" t="s">
        <v>151</v>
      </c>
      <c r="I142" s="15">
        <v>0</v>
      </c>
      <c r="J142" s="15">
        <v>0</v>
      </c>
    </row>
    <row r="143" spans="1:10" x14ac:dyDescent="0.25">
      <c r="A143" s="14" t="s">
        <v>294</v>
      </c>
      <c r="I143" s="13">
        <v>0</v>
      </c>
    </row>
    <row r="144" spans="1:10" x14ac:dyDescent="0.25">
      <c r="A144" s="14" t="s">
        <v>293</v>
      </c>
    </row>
    <row r="145" spans="2:10" ht="23.25" x14ac:dyDescent="0.25">
      <c r="B145" s="18" t="s">
        <v>248</v>
      </c>
      <c r="C145" s="18" t="s">
        <v>154</v>
      </c>
      <c r="D145" s="18">
        <v>15427</v>
      </c>
      <c r="E145" s="18" t="s">
        <v>290</v>
      </c>
      <c r="F145" s="17"/>
      <c r="G145" s="17" t="s">
        <v>292</v>
      </c>
      <c r="H145" s="17" t="s">
        <v>151</v>
      </c>
      <c r="I145" s="15">
        <v>50</v>
      </c>
      <c r="J145" s="15">
        <v>50</v>
      </c>
    </row>
    <row r="146" spans="2:10" ht="23.25" x14ac:dyDescent="0.25">
      <c r="B146" s="18" t="s">
        <v>248</v>
      </c>
      <c r="C146" s="18" t="s">
        <v>154</v>
      </c>
      <c r="D146" s="18">
        <v>15428</v>
      </c>
      <c r="E146" s="18" t="s">
        <v>286</v>
      </c>
      <c r="F146" s="17"/>
      <c r="G146" s="17" t="s">
        <v>292</v>
      </c>
      <c r="H146" s="17" t="s">
        <v>151</v>
      </c>
      <c r="I146" s="15">
        <v>100</v>
      </c>
      <c r="J146" s="15">
        <v>150</v>
      </c>
    </row>
    <row r="147" spans="2:10" ht="23.25" x14ac:dyDescent="0.25">
      <c r="B147" s="18" t="s">
        <v>248</v>
      </c>
      <c r="C147" s="18" t="s">
        <v>154</v>
      </c>
      <c r="D147" s="18">
        <v>15425</v>
      </c>
      <c r="E147" s="18" t="s">
        <v>285</v>
      </c>
      <c r="F147" s="17"/>
      <c r="G147" s="17" t="s">
        <v>292</v>
      </c>
      <c r="H147" s="17" t="s">
        <v>151</v>
      </c>
      <c r="I147" s="15">
        <v>50</v>
      </c>
      <c r="J147" s="15">
        <v>200</v>
      </c>
    </row>
    <row r="148" spans="2:10" ht="23.25" x14ac:dyDescent="0.25">
      <c r="B148" s="18" t="s">
        <v>248</v>
      </c>
      <c r="C148" s="18" t="s">
        <v>154</v>
      </c>
      <c r="D148" s="18">
        <v>15429</v>
      </c>
      <c r="E148" s="18" t="s">
        <v>284</v>
      </c>
      <c r="F148" s="17"/>
      <c r="G148" s="17" t="s">
        <v>292</v>
      </c>
      <c r="H148" s="17" t="s">
        <v>151</v>
      </c>
      <c r="I148" s="15">
        <v>200</v>
      </c>
      <c r="J148" s="15">
        <v>400</v>
      </c>
    </row>
    <row r="149" spans="2:10" ht="23.25" x14ac:dyDescent="0.25">
      <c r="B149" s="18" t="s">
        <v>248</v>
      </c>
      <c r="C149" s="18" t="s">
        <v>154</v>
      </c>
      <c r="D149" s="18">
        <v>15426</v>
      </c>
      <c r="E149" s="18" t="s">
        <v>287</v>
      </c>
      <c r="F149" s="17"/>
      <c r="G149" s="17" t="s">
        <v>292</v>
      </c>
      <c r="H149" s="17" t="s">
        <v>151</v>
      </c>
      <c r="I149" s="15">
        <v>50</v>
      </c>
      <c r="J149" s="15">
        <v>450</v>
      </c>
    </row>
    <row r="150" spans="2:10" ht="23.25" x14ac:dyDescent="0.25">
      <c r="B150" s="18" t="s">
        <v>213</v>
      </c>
      <c r="C150" s="18" t="s">
        <v>154</v>
      </c>
      <c r="D150" s="18">
        <v>15440</v>
      </c>
      <c r="E150" s="18" t="s">
        <v>290</v>
      </c>
      <c r="F150" s="17"/>
      <c r="G150" s="17" t="s">
        <v>291</v>
      </c>
      <c r="H150" s="17" t="s">
        <v>151</v>
      </c>
      <c r="I150" s="15">
        <v>50</v>
      </c>
      <c r="J150" s="15">
        <v>500</v>
      </c>
    </row>
    <row r="151" spans="2:10" ht="23.25" x14ac:dyDescent="0.25">
      <c r="B151" s="18" t="s">
        <v>213</v>
      </c>
      <c r="C151" s="18" t="s">
        <v>154</v>
      </c>
      <c r="D151" s="18">
        <v>15441</v>
      </c>
      <c r="E151" s="18" t="s">
        <v>284</v>
      </c>
      <c r="F151" s="17"/>
      <c r="G151" s="17" t="s">
        <v>291</v>
      </c>
      <c r="H151" s="17" t="s">
        <v>151</v>
      </c>
      <c r="I151" s="15">
        <v>200</v>
      </c>
      <c r="J151" s="15">
        <v>700</v>
      </c>
    </row>
    <row r="152" spans="2:10" ht="23.25" x14ac:dyDescent="0.25">
      <c r="B152" s="18" t="s">
        <v>213</v>
      </c>
      <c r="C152" s="18" t="s">
        <v>154</v>
      </c>
      <c r="D152" s="18">
        <v>15442</v>
      </c>
      <c r="E152" s="18" t="s">
        <v>286</v>
      </c>
      <c r="F152" s="17"/>
      <c r="G152" s="17" t="s">
        <v>291</v>
      </c>
      <c r="H152" s="17" t="s">
        <v>151</v>
      </c>
      <c r="I152" s="15">
        <v>100</v>
      </c>
      <c r="J152" s="15">
        <v>800</v>
      </c>
    </row>
    <row r="153" spans="2:10" x14ac:dyDescent="0.25">
      <c r="B153" s="18" t="s">
        <v>213</v>
      </c>
      <c r="C153" s="18" t="s">
        <v>168</v>
      </c>
      <c r="D153" s="18"/>
      <c r="E153" s="18" t="s">
        <v>283</v>
      </c>
      <c r="F153" s="17"/>
      <c r="G153" s="17" t="s">
        <v>291</v>
      </c>
      <c r="H153" s="17" t="s">
        <v>164</v>
      </c>
      <c r="I153" s="15">
        <v>25</v>
      </c>
      <c r="J153" s="15">
        <v>825</v>
      </c>
    </row>
    <row r="154" spans="2:10" ht="23.25" x14ac:dyDescent="0.25">
      <c r="B154" s="18" t="s">
        <v>213</v>
      </c>
      <c r="C154" s="18" t="s">
        <v>154</v>
      </c>
      <c r="D154" s="18">
        <v>15439</v>
      </c>
      <c r="E154" s="18" t="s">
        <v>285</v>
      </c>
      <c r="F154" s="17"/>
      <c r="G154" s="17" t="s">
        <v>291</v>
      </c>
      <c r="H154" s="17" t="s">
        <v>151</v>
      </c>
      <c r="I154" s="15">
        <v>50</v>
      </c>
      <c r="J154" s="15">
        <v>875</v>
      </c>
    </row>
    <row r="155" spans="2:10" ht="23.25" x14ac:dyDescent="0.25">
      <c r="B155" s="18" t="s">
        <v>211</v>
      </c>
      <c r="C155" s="18" t="s">
        <v>154</v>
      </c>
      <c r="D155" s="18">
        <v>15458</v>
      </c>
      <c r="E155" s="18" t="s">
        <v>286</v>
      </c>
      <c r="F155" s="17"/>
      <c r="G155" s="17" t="s">
        <v>288</v>
      </c>
      <c r="H155" s="17" t="s">
        <v>151</v>
      </c>
      <c r="I155" s="15">
        <v>100</v>
      </c>
      <c r="J155" s="15">
        <v>975</v>
      </c>
    </row>
    <row r="156" spans="2:10" ht="23.25" x14ac:dyDescent="0.25">
      <c r="B156" s="18" t="s">
        <v>211</v>
      </c>
      <c r="C156" s="18" t="s">
        <v>154</v>
      </c>
      <c r="D156" s="18">
        <v>15457</v>
      </c>
      <c r="E156" s="18" t="s">
        <v>290</v>
      </c>
      <c r="F156" s="17"/>
      <c r="G156" s="17" t="s">
        <v>288</v>
      </c>
      <c r="H156" s="17" t="s">
        <v>151</v>
      </c>
      <c r="I156" s="15">
        <v>50</v>
      </c>
      <c r="J156" s="15">
        <v>1025</v>
      </c>
    </row>
    <row r="157" spans="2:10" ht="23.25" x14ac:dyDescent="0.25">
      <c r="B157" s="18" t="s">
        <v>211</v>
      </c>
      <c r="C157" s="18" t="s">
        <v>154</v>
      </c>
      <c r="D157" s="18">
        <v>15460</v>
      </c>
      <c r="E157" s="18" t="s">
        <v>289</v>
      </c>
      <c r="F157" s="17"/>
      <c r="G157" s="17" t="s">
        <v>288</v>
      </c>
      <c r="H157" s="17" t="s">
        <v>151</v>
      </c>
      <c r="I157" s="15">
        <v>50</v>
      </c>
      <c r="J157" s="15">
        <v>1075</v>
      </c>
    </row>
    <row r="158" spans="2:10" ht="23.25" x14ac:dyDescent="0.25">
      <c r="B158" s="18" t="s">
        <v>211</v>
      </c>
      <c r="C158" s="18" t="s">
        <v>154</v>
      </c>
      <c r="D158" s="18">
        <v>15456</v>
      </c>
      <c r="E158" s="18" t="s">
        <v>285</v>
      </c>
      <c r="F158" s="17"/>
      <c r="G158" s="17" t="s">
        <v>288</v>
      </c>
      <c r="H158" s="17" t="s">
        <v>151</v>
      </c>
      <c r="I158" s="15">
        <v>50</v>
      </c>
      <c r="J158" s="15">
        <v>1125</v>
      </c>
    </row>
    <row r="159" spans="2:10" ht="23.25" x14ac:dyDescent="0.25">
      <c r="B159" s="18" t="s">
        <v>211</v>
      </c>
      <c r="C159" s="18" t="s">
        <v>154</v>
      </c>
      <c r="D159" s="18">
        <v>15459</v>
      </c>
      <c r="E159" s="18" t="s">
        <v>284</v>
      </c>
      <c r="F159" s="17"/>
      <c r="G159" s="17" t="s">
        <v>288</v>
      </c>
      <c r="H159" s="17" t="s">
        <v>151</v>
      </c>
      <c r="I159" s="15">
        <v>200</v>
      </c>
      <c r="J159" s="15">
        <v>1325</v>
      </c>
    </row>
    <row r="160" spans="2:10" ht="23.25" x14ac:dyDescent="0.25">
      <c r="B160" s="18" t="s">
        <v>208</v>
      </c>
      <c r="C160" s="18" t="s">
        <v>154</v>
      </c>
      <c r="D160" s="18">
        <v>15468</v>
      </c>
      <c r="E160" s="18" t="s">
        <v>287</v>
      </c>
      <c r="F160" s="17"/>
      <c r="G160" s="17" t="s">
        <v>282</v>
      </c>
      <c r="H160" s="17" t="s">
        <v>151</v>
      </c>
      <c r="I160" s="15">
        <v>25</v>
      </c>
      <c r="J160" s="15">
        <v>1350</v>
      </c>
    </row>
    <row r="161" spans="1:10" ht="23.25" x14ac:dyDescent="0.25">
      <c r="B161" s="18" t="s">
        <v>208</v>
      </c>
      <c r="C161" s="18" t="s">
        <v>154</v>
      </c>
      <c r="D161" s="18">
        <v>15469</v>
      </c>
      <c r="E161" s="18" t="s">
        <v>286</v>
      </c>
      <c r="F161" s="17"/>
      <c r="G161" s="17" t="s">
        <v>282</v>
      </c>
      <c r="H161" s="17" t="s">
        <v>151</v>
      </c>
      <c r="I161" s="15">
        <v>100</v>
      </c>
      <c r="J161" s="15">
        <v>1450</v>
      </c>
    </row>
    <row r="162" spans="1:10" ht="23.25" x14ac:dyDescent="0.25">
      <c r="B162" s="18" t="s">
        <v>208</v>
      </c>
      <c r="C162" s="18" t="s">
        <v>154</v>
      </c>
      <c r="D162" s="18">
        <v>15467</v>
      </c>
      <c r="E162" s="18" t="s">
        <v>285</v>
      </c>
      <c r="F162" s="17"/>
      <c r="G162" s="17" t="s">
        <v>282</v>
      </c>
      <c r="H162" s="17" t="s">
        <v>151</v>
      </c>
      <c r="I162" s="15">
        <v>50</v>
      </c>
      <c r="J162" s="15">
        <v>1500</v>
      </c>
    </row>
    <row r="163" spans="1:10" ht="23.25" x14ac:dyDescent="0.25">
      <c r="B163" s="18" t="s">
        <v>208</v>
      </c>
      <c r="C163" s="18" t="s">
        <v>154</v>
      </c>
      <c r="D163" s="18">
        <v>15470</v>
      </c>
      <c r="E163" s="18" t="s">
        <v>284</v>
      </c>
      <c r="F163" s="17"/>
      <c r="G163" s="17" t="s">
        <v>282</v>
      </c>
      <c r="H163" s="17" t="s">
        <v>151</v>
      </c>
      <c r="I163" s="15">
        <v>200</v>
      </c>
      <c r="J163" s="15">
        <v>1700</v>
      </c>
    </row>
    <row r="164" spans="1:10" ht="23.25" x14ac:dyDescent="0.25">
      <c r="B164" s="18" t="s">
        <v>208</v>
      </c>
      <c r="C164" s="18" t="s">
        <v>154</v>
      </c>
      <c r="D164" s="18">
        <v>15471</v>
      </c>
      <c r="E164" s="18" t="s">
        <v>283</v>
      </c>
      <c r="F164" s="17"/>
      <c r="G164" s="17" t="s">
        <v>282</v>
      </c>
      <c r="H164" s="17" t="s">
        <v>151</v>
      </c>
      <c r="I164" s="15">
        <v>50</v>
      </c>
      <c r="J164" s="15">
        <v>1750</v>
      </c>
    </row>
    <row r="165" spans="1:10" x14ac:dyDescent="0.25">
      <c r="A165" s="14" t="s">
        <v>281</v>
      </c>
      <c r="I165" s="13">
        <v>1750</v>
      </c>
    </row>
    <row r="166" spans="1:10" x14ac:dyDescent="0.25">
      <c r="A166" s="14" t="s">
        <v>280</v>
      </c>
      <c r="I166" s="13">
        <v>1750</v>
      </c>
    </row>
    <row r="167" spans="1:10" x14ac:dyDescent="0.25">
      <c r="A167" s="14" t="s">
        <v>279</v>
      </c>
    </row>
    <row r="168" spans="1:10" x14ac:dyDescent="0.25">
      <c r="A168" s="14" t="s">
        <v>278</v>
      </c>
    </row>
    <row r="169" spans="1:10" x14ac:dyDescent="0.25">
      <c r="B169" s="18" t="s">
        <v>200</v>
      </c>
      <c r="C169" s="18" t="s">
        <v>168</v>
      </c>
      <c r="D169" s="18"/>
      <c r="E169" s="18" t="s">
        <v>274</v>
      </c>
      <c r="F169" s="17"/>
      <c r="G169" s="17" t="s">
        <v>277</v>
      </c>
      <c r="H169" s="17" t="s">
        <v>164</v>
      </c>
      <c r="I169" s="15">
        <v>43.94</v>
      </c>
      <c r="J169" s="15">
        <v>43.94</v>
      </c>
    </row>
    <row r="170" spans="1:10" x14ac:dyDescent="0.25">
      <c r="B170" s="18" t="s">
        <v>200</v>
      </c>
      <c r="C170" s="18" t="s">
        <v>168</v>
      </c>
      <c r="D170" s="18"/>
      <c r="E170" s="18" t="s">
        <v>274</v>
      </c>
      <c r="F170" s="17"/>
      <c r="G170" s="17" t="s">
        <v>276</v>
      </c>
      <c r="H170" s="17" t="s">
        <v>164</v>
      </c>
      <c r="I170" s="15">
        <v>43.95</v>
      </c>
      <c r="J170" s="15">
        <v>87.89</v>
      </c>
    </row>
    <row r="171" spans="1:10" x14ac:dyDescent="0.25">
      <c r="B171" s="18" t="s">
        <v>275</v>
      </c>
      <c r="C171" s="18" t="s">
        <v>168</v>
      </c>
      <c r="D171" s="18">
        <v>1252006</v>
      </c>
      <c r="E171" s="18" t="s">
        <v>274</v>
      </c>
      <c r="F171" s="17"/>
      <c r="G171" s="17" t="s">
        <v>273</v>
      </c>
      <c r="H171" s="17" t="s">
        <v>164</v>
      </c>
      <c r="I171" s="15">
        <v>43.95</v>
      </c>
      <c r="J171" s="15">
        <v>131.84</v>
      </c>
    </row>
    <row r="172" spans="1:10" x14ac:dyDescent="0.25">
      <c r="A172" s="14" t="s">
        <v>272</v>
      </c>
      <c r="I172" s="13">
        <v>131.84</v>
      </c>
    </row>
    <row r="173" spans="1:10" x14ac:dyDescent="0.25">
      <c r="A173" s="14" t="s">
        <v>271</v>
      </c>
    </row>
    <row r="174" spans="1:10" x14ac:dyDescent="0.25">
      <c r="B174" s="18" t="s">
        <v>195</v>
      </c>
      <c r="C174" s="18" t="s">
        <v>168</v>
      </c>
      <c r="D174" s="18"/>
      <c r="E174" s="18" t="s">
        <v>270</v>
      </c>
      <c r="F174" s="17"/>
      <c r="G174" s="17" t="s">
        <v>269</v>
      </c>
      <c r="H174" s="17" t="s">
        <v>164</v>
      </c>
      <c r="I174" s="15">
        <v>36.409999999999997</v>
      </c>
      <c r="J174" s="15">
        <v>36.409999999999997</v>
      </c>
    </row>
    <row r="175" spans="1:10" x14ac:dyDescent="0.25">
      <c r="B175" s="18" t="s">
        <v>169</v>
      </c>
      <c r="C175" s="18" t="s">
        <v>256</v>
      </c>
      <c r="D175" s="18" t="s">
        <v>268</v>
      </c>
      <c r="E175" s="18" t="s">
        <v>267</v>
      </c>
      <c r="F175" s="17"/>
      <c r="G175" s="17" t="s">
        <v>266</v>
      </c>
      <c r="H175" s="17" t="s">
        <v>265</v>
      </c>
      <c r="I175" s="15">
        <v>12.78</v>
      </c>
      <c r="J175" s="15">
        <v>49.19</v>
      </c>
    </row>
    <row r="176" spans="1:10" x14ac:dyDescent="0.25">
      <c r="A176" s="14" t="s">
        <v>264</v>
      </c>
      <c r="I176" s="13">
        <v>49.19</v>
      </c>
    </row>
    <row r="177" spans="1:10" x14ac:dyDescent="0.25">
      <c r="A177" s="14" t="s">
        <v>263</v>
      </c>
      <c r="I177" s="13">
        <v>181.03</v>
      </c>
    </row>
    <row r="178" spans="1:10" x14ac:dyDescent="0.25">
      <c r="A178" s="14" t="s">
        <v>262</v>
      </c>
    </row>
    <row r="179" spans="1:10" x14ac:dyDescent="0.25">
      <c r="A179" s="14" t="s">
        <v>261</v>
      </c>
    </row>
    <row r="180" spans="1:10" ht="23.25" x14ac:dyDescent="0.25">
      <c r="B180" s="18" t="s">
        <v>181</v>
      </c>
      <c r="C180" s="18" t="s">
        <v>154</v>
      </c>
      <c r="D180" s="18">
        <v>15490</v>
      </c>
      <c r="E180" s="18" t="s">
        <v>180</v>
      </c>
      <c r="F180" s="17"/>
      <c r="G180" s="17" t="s">
        <v>260</v>
      </c>
      <c r="H180" s="17" t="s">
        <v>151</v>
      </c>
      <c r="I180" s="15">
        <v>150</v>
      </c>
      <c r="J180" s="15">
        <v>150</v>
      </c>
    </row>
    <row r="181" spans="1:10" x14ac:dyDescent="0.25">
      <c r="A181" s="14" t="s">
        <v>259</v>
      </c>
      <c r="I181" s="13">
        <v>150</v>
      </c>
    </row>
    <row r="182" spans="1:10" x14ac:dyDescent="0.25">
      <c r="A182" s="14" t="s">
        <v>258</v>
      </c>
    </row>
    <row r="183" spans="1:10" ht="23.25" x14ac:dyDescent="0.25">
      <c r="B183" s="18" t="s">
        <v>257</v>
      </c>
      <c r="C183" s="18" t="s">
        <v>256</v>
      </c>
      <c r="D183" s="18"/>
      <c r="E183" s="18" t="s">
        <v>255</v>
      </c>
      <c r="F183" s="17"/>
      <c r="G183" s="17" t="s">
        <v>254</v>
      </c>
      <c r="H183" s="17" t="s">
        <v>253</v>
      </c>
      <c r="I183" s="15">
        <v>281.7</v>
      </c>
      <c r="J183" s="15">
        <v>281.7</v>
      </c>
    </row>
    <row r="184" spans="1:10" x14ac:dyDescent="0.25">
      <c r="A184" s="14" t="s">
        <v>252</v>
      </c>
      <c r="I184" s="13">
        <v>281.7</v>
      </c>
    </row>
    <row r="185" spans="1:10" x14ac:dyDescent="0.25">
      <c r="A185" s="14" t="s">
        <v>251</v>
      </c>
      <c r="I185" s="13">
        <v>431.7</v>
      </c>
    </row>
    <row r="186" spans="1:10" x14ac:dyDescent="0.25">
      <c r="A186" s="14" t="s">
        <v>250</v>
      </c>
    </row>
    <row r="187" spans="1:10" x14ac:dyDescent="0.25">
      <c r="A187" s="14" t="s">
        <v>249</v>
      </c>
    </row>
    <row r="188" spans="1:10" x14ac:dyDescent="0.25">
      <c r="B188" s="18" t="s">
        <v>248</v>
      </c>
      <c r="C188" s="18" t="s">
        <v>168</v>
      </c>
      <c r="D188" s="18" t="s">
        <v>247</v>
      </c>
      <c r="E188" s="18" t="s">
        <v>167</v>
      </c>
      <c r="F188" s="17"/>
      <c r="G188" s="17" t="s">
        <v>246</v>
      </c>
      <c r="H188" s="17" t="s">
        <v>164</v>
      </c>
      <c r="I188" s="15">
        <v>370.6</v>
      </c>
      <c r="J188" s="15">
        <v>370.6</v>
      </c>
    </row>
    <row r="189" spans="1:10" x14ac:dyDescent="0.25">
      <c r="B189" s="18" t="s">
        <v>195</v>
      </c>
      <c r="C189" s="18" t="s">
        <v>168</v>
      </c>
      <c r="D189" s="18" t="s">
        <v>245</v>
      </c>
      <c r="E189" s="18" t="s">
        <v>167</v>
      </c>
      <c r="F189" s="17"/>
      <c r="G189" s="17" t="s">
        <v>244</v>
      </c>
      <c r="H189" s="17" t="s">
        <v>164</v>
      </c>
      <c r="I189" s="15">
        <v>279.7</v>
      </c>
      <c r="J189" s="15">
        <v>650.29999999999995</v>
      </c>
    </row>
    <row r="190" spans="1:10" x14ac:dyDescent="0.25">
      <c r="B190" s="18" t="s">
        <v>174</v>
      </c>
      <c r="C190" s="18" t="s">
        <v>168</v>
      </c>
      <c r="D190" s="18"/>
      <c r="E190" s="18" t="s">
        <v>167</v>
      </c>
      <c r="F190" s="17"/>
      <c r="G190" s="17" t="s">
        <v>243</v>
      </c>
      <c r="H190" s="17" t="s">
        <v>164</v>
      </c>
      <c r="I190" s="15">
        <v>173.95</v>
      </c>
      <c r="J190" s="15">
        <v>824.25</v>
      </c>
    </row>
    <row r="191" spans="1:10" x14ac:dyDescent="0.25">
      <c r="B191" s="18" t="s">
        <v>174</v>
      </c>
      <c r="C191" s="18" t="s">
        <v>168</v>
      </c>
      <c r="D191" s="18" t="s">
        <v>243</v>
      </c>
      <c r="E191" s="18" t="s">
        <v>167</v>
      </c>
      <c r="F191" s="17"/>
      <c r="G191" s="17" t="s">
        <v>243</v>
      </c>
      <c r="H191" s="17" t="s">
        <v>164</v>
      </c>
      <c r="I191" s="15">
        <v>173.95</v>
      </c>
      <c r="J191" s="15">
        <v>998.2</v>
      </c>
    </row>
    <row r="192" spans="1:10" x14ac:dyDescent="0.25">
      <c r="B192" s="18" t="s">
        <v>192</v>
      </c>
      <c r="C192" s="18" t="s">
        <v>168</v>
      </c>
      <c r="D192" s="18" t="s">
        <v>242</v>
      </c>
      <c r="E192" s="18" t="s">
        <v>167</v>
      </c>
      <c r="F192" s="17"/>
      <c r="G192" s="17" t="s">
        <v>242</v>
      </c>
      <c r="H192" s="17" t="s">
        <v>164</v>
      </c>
      <c r="I192" s="15">
        <v>197.72</v>
      </c>
      <c r="J192" s="15">
        <v>1195.92</v>
      </c>
    </row>
    <row r="193" spans="1:10" x14ac:dyDescent="0.25">
      <c r="A193" s="14" t="s">
        <v>241</v>
      </c>
      <c r="I193" s="13">
        <v>1195.92</v>
      </c>
    </row>
    <row r="194" spans="1:10" x14ac:dyDescent="0.25">
      <c r="A194" s="14" t="s">
        <v>240</v>
      </c>
      <c r="I194" s="13">
        <v>1195.92</v>
      </c>
    </row>
    <row r="195" spans="1:10" x14ac:dyDescent="0.25">
      <c r="A195" s="14" t="s">
        <v>239</v>
      </c>
    </row>
    <row r="196" spans="1:10" ht="23.25" x14ac:dyDescent="0.25">
      <c r="B196" s="18" t="s">
        <v>238</v>
      </c>
      <c r="C196" s="18" t="s">
        <v>154</v>
      </c>
      <c r="D196" s="18">
        <v>15476</v>
      </c>
      <c r="E196" s="18"/>
      <c r="F196" s="17"/>
      <c r="G196" s="17" t="s">
        <v>237</v>
      </c>
      <c r="H196" s="17" t="s">
        <v>151</v>
      </c>
      <c r="I196" s="15">
        <v>0</v>
      </c>
      <c r="J196" s="15">
        <v>0</v>
      </c>
    </row>
    <row r="197" spans="1:10" ht="23.25" x14ac:dyDescent="0.25">
      <c r="B197" s="18" t="s">
        <v>238</v>
      </c>
      <c r="C197" s="18" t="s">
        <v>154</v>
      </c>
      <c r="D197" s="18">
        <v>15477</v>
      </c>
      <c r="E197" s="18"/>
      <c r="F197" s="17"/>
      <c r="G197" s="17" t="s">
        <v>237</v>
      </c>
      <c r="H197" s="17" t="s">
        <v>151</v>
      </c>
      <c r="I197" s="15">
        <v>0</v>
      </c>
      <c r="J197" s="15">
        <v>0</v>
      </c>
    </row>
    <row r="198" spans="1:10" x14ac:dyDescent="0.25">
      <c r="A198" s="14" t="s">
        <v>236</v>
      </c>
      <c r="I198" s="13">
        <v>0</v>
      </c>
    </row>
    <row r="199" spans="1:10" x14ac:dyDescent="0.25">
      <c r="A199" s="14" t="s">
        <v>101</v>
      </c>
    </row>
    <row r="200" spans="1:10" x14ac:dyDescent="0.25">
      <c r="A200" s="14" t="s">
        <v>235</v>
      </c>
    </row>
    <row r="201" spans="1:10" ht="23.25" x14ac:dyDescent="0.25">
      <c r="B201" s="18" t="s">
        <v>226</v>
      </c>
      <c r="C201" s="18" t="s">
        <v>223</v>
      </c>
      <c r="D201" s="18">
        <v>15448</v>
      </c>
      <c r="E201" s="18" t="s">
        <v>225</v>
      </c>
      <c r="F201" s="17"/>
      <c r="G201" s="17" t="s">
        <v>234</v>
      </c>
      <c r="H201" s="17" t="s">
        <v>151</v>
      </c>
      <c r="I201" s="15">
        <v>108.2</v>
      </c>
      <c r="J201" s="15">
        <v>108.2</v>
      </c>
    </row>
    <row r="202" spans="1:10" ht="23.25" x14ac:dyDescent="0.25">
      <c r="B202" s="18" t="s">
        <v>169</v>
      </c>
      <c r="C202" s="18" t="s">
        <v>223</v>
      </c>
      <c r="D202" s="18">
        <v>15479</v>
      </c>
      <c r="E202" s="18" t="s">
        <v>225</v>
      </c>
      <c r="F202" s="17"/>
      <c r="G202" s="17" t="s">
        <v>234</v>
      </c>
      <c r="H202" s="17" t="s">
        <v>151</v>
      </c>
      <c r="I202" s="15">
        <v>108.2</v>
      </c>
      <c r="J202" s="15">
        <v>216.4</v>
      </c>
    </row>
    <row r="203" spans="1:10" x14ac:dyDescent="0.25">
      <c r="A203" s="14" t="s">
        <v>233</v>
      </c>
      <c r="I203" s="13">
        <v>216.4</v>
      </c>
    </row>
    <row r="204" spans="1:10" x14ac:dyDescent="0.25">
      <c r="A204" s="14" t="s">
        <v>232</v>
      </c>
    </row>
    <row r="205" spans="1:10" ht="23.25" x14ac:dyDescent="0.25">
      <c r="B205" s="18" t="s">
        <v>226</v>
      </c>
      <c r="C205" s="18" t="s">
        <v>223</v>
      </c>
      <c r="D205" s="18">
        <v>15448</v>
      </c>
      <c r="E205" s="18" t="s">
        <v>225</v>
      </c>
      <c r="F205" s="17"/>
      <c r="G205" s="17" t="s">
        <v>231</v>
      </c>
      <c r="H205" s="17" t="s">
        <v>151</v>
      </c>
      <c r="I205" s="15">
        <v>1414.38</v>
      </c>
      <c r="J205" s="15">
        <v>1414.38</v>
      </c>
    </row>
    <row r="206" spans="1:10" ht="23.25" x14ac:dyDescent="0.25">
      <c r="B206" s="18" t="s">
        <v>226</v>
      </c>
      <c r="C206" s="18" t="s">
        <v>223</v>
      </c>
      <c r="D206" s="18">
        <v>15446</v>
      </c>
      <c r="E206" s="18" t="s">
        <v>222</v>
      </c>
      <c r="F206" s="17"/>
      <c r="G206" s="17" t="s">
        <v>230</v>
      </c>
      <c r="H206" s="17" t="s">
        <v>151</v>
      </c>
      <c r="I206" s="15">
        <v>1117.74</v>
      </c>
      <c r="J206" s="15">
        <v>2532.12</v>
      </c>
    </row>
    <row r="207" spans="1:10" ht="23.25" x14ac:dyDescent="0.25">
      <c r="B207" s="18" t="s">
        <v>226</v>
      </c>
      <c r="C207" s="18" t="s">
        <v>223</v>
      </c>
      <c r="D207" s="18">
        <v>15446</v>
      </c>
      <c r="E207" s="18" t="s">
        <v>222</v>
      </c>
      <c r="F207" s="17"/>
      <c r="G207" s="17" t="s">
        <v>230</v>
      </c>
      <c r="H207" s="17" t="s">
        <v>151</v>
      </c>
      <c r="I207" s="15">
        <v>0</v>
      </c>
      <c r="J207" s="15">
        <v>2532.12</v>
      </c>
    </row>
    <row r="208" spans="1:10" ht="23.25" x14ac:dyDescent="0.25">
      <c r="B208" s="18" t="s">
        <v>226</v>
      </c>
      <c r="C208" s="18" t="s">
        <v>223</v>
      </c>
      <c r="D208" s="18">
        <v>15446</v>
      </c>
      <c r="E208" s="18" t="s">
        <v>222</v>
      </c>
      <c r="F208" s="17"/>
      <c r="G208" s="17" t="s">
        <v>231</v>
      </c>
      <c r="H208" s="17" t="s">
        <v>151</v>
      </c>
      <c r="I208" s="15">
        <v>713.79</v>
      </c>
      <c r="J208" s="15">
        <v>3245.91</v>
      </c>
    </row>
    <row r="209" spans="1:10" ht="23.25" x14ac:dyDescent="0.25">
      <c r="B209" s="18" t="s">
        <v>169</v>
      </c>
      <c r="C209" s="18" t="s">
        <v>223</v>
      </c>
      <c r="D209" s="18">
        <v>15478</v>
      </c>
      <c r="E209" s="18" t="s">
        <v>222</v>
      </c>
      <c r="F209" s="17"/>
      <c r="G209" s="17" t="s">
        <v>231</v>
      </c>
      <c r="H209" s="17" t="s">
        <v>151</v>
      </c>
      <c r="I209" s="15">
        <v>713.79</v>
      </c>
      <c r="J209" s="15">
        <v>3959.7</v>
      </c>
    </row>
    <row r="210" spans="1:10" ht="23.25" x14ac:dyDescent="0.25">
      <c r="B210" s="18" t="s">
        <v>169</v>
      </c>
      <c r="C210" s="18" t="s">
        <v>223</v>
      </c>
      <c r="D210" s="18">
        <v>15479</v>
      </c>
      <c r="E210" s="18" t="s">
        <v>225</v>
      </c>
      <c r="F210" s="17"/>
      <c r="G210" s="17" t="s">
        <v>231</v>
      </c>
      <c r="H210" s="17" t="s">
        <v>151</v>
      </c>
      <c r="I210" s="15">
        <v>1414.38</v>
      </c>
      <c r="J210" s="15">
        <v>5374.08</v>
      </c>
    </row>
    <row r="211" spans="1:10" ht="23.25" x14ac:dyDescent="0.25">
      <c r="B211" s="18" t="s">
        <v>169</v>
      </c>
      <c r="C211" s="18" t="s">
        <v>223</v>
      </c>
      <c r="D211" s="18">
        <v>15478</v>
      </c>
      <c r="E211" s="18" t="s">
        <v>222</v>
      </c>
      <c r="F211" s="17"/>
      <c r="G211" s="17" t="s">
        <v>230</v>
      </c>
      <c r="H211" s="17" t="s">
        <v>151</v>
      </c>
      <c r="I211" s="15">
        <v>0</v>
      </c>
      <c r="J211" s="15">
        <v>5374.08</v>
      </c>
    </row>
    <row r="212" spans="1:10" ht="23.25" x14ac:dyDescent="0.25">
      <c r="B212" s="18" t="s">
        <v>169</v>
      </c>
      <c r="C212" s="18" t="s">
        <v>223</v>
      </c>
      <c r="D212" s="18">
        <v>15478</v>
      </c>
      <c r="E212" s="18" t="s">
        <v>222</v>
      </c>
      <c r="F212" s="17"/>
      <c r="G212" s="17" t="s">
        <v>230</v>
      </c>
      <c r="H212" s="17" t="s">
        <v>151</v>
      </c>
      <c r="I212" s="15">
        <v>1117.74</v>
      </c>
      <c r="J212" s="15">
        <v>6491.82</v>
      </c>
    </row>
    <row r="213" spans="1:10" x14ac:dyDescent="0.25">
      <c r="A213" s="14" t="s">
        <v>229</v>
      </c>
      <c r="I213" s="13">
        <v>6491.82</v>
      </c>
    </row>
    <row r="214" spans="1:10" x14ac:dyDescent="0.25">
      <c r="A214" s="14" t="s">
        <v>228</v>
      </c>
      <c r="I214" s="13">
        <v>6708.22</v>
      </c>
    </row>
    <row r="215" spans="1:10" x14ac:dyDescent="0.25">
      <c r="A215" s="14" t="s">
        <v>227</v>
      </c>
    </row>
    <row r="216" spans="1:10" ht="23.25" x14ac:dyDescent="0.25">
      <c r="B216" s="18" t="s">
        <v>226</v>
      </c>
      <c r="C216" s="18" t="s">
        <v>223</v>
      </c>
      <c r="D216" s="18">
        <v>15448</v>
      </c>
      <c r="E216" s="18" t="s">
        <v>225</v>
      </c>
      <c r="F216" s="17"/>
      <c r="G216" s="17" t="s">
        <v>224</v>
      </c>
      <c r="H216" s="17" t="s">
        <v>151</v>
      </c>
      <c r="I216" s="15">
        <v>186.88</v>
      </c>
      <c r="J216" s="15">
        <v>186.88</v>
      </c>
    </row>
    <row r="217" spans="1:10" ht="23.25" x14ac:dyDescent="0.25">
      <c r="B217" s="18" t="s">
        <v>226</v>
      </c>
      <c r="C217" s="18" t="s">
        <v>223</v>
      </c>
      <c r="D217" s="18">
        <v>15446</v>
      </c>
      <c r="E217" s="18" t="s">
        <v>222</v>
      </c>
      <c r="F217" s="17"/>
      <c r="G217" s="17" t="s">
        <v>221</v>
      </c>
      <c r="H217" s="17" t="s">
        <v>151</v>
      </c>
      <c r="I217" s="15">
        <v>361.5</v>
      </c>
      <c r="J217" s="15">
        <v>548.38</v>
      </c>
    </row>
    <row r="218" spans="1:10" ht="23.25" x14ac:dyDescent="0.25">
      <c r="B218" s="18" t="s">
        <v>169</v>
      </c>
      <c r="C218" s="18" t="s">
        <v>223</v>
      </c>
      <c r="D218" s="18">
        <v>15479</v>
      </c>
      <c r="E218" s="18" t="s">
        <v>225</v>
      </c>
      <c r="F218" s="17"/>
      <c r="G218" s="17" t="s">
        <v>224</v>
      </c>
      <c r="H218" s="17" t="s">
        <v>151</v>
      </c>
      <c r="I218" s="15">
        <v>186.88</v>
      </c>
      <c r="J218" s="15">
        <v>735.26</v>
      </c>
    </row>
    <row r="219" spans="1:10" ht="23.25" x14ac:dyDescent="0.25">
      <c r="B219" s="18" t="s">
        <v>169</v>
      </c>
      <c r="C219" s="18" t="s">
        <v>223</v>
      </c>
      <c r="D219" s="18">
        <v>15478</v>
      </c>
      <c r="E219" s="18" t="s">
        <v>222</v>
      </c>
      <c r="F219" s="17"/>
      <c r="G219" s="17" t="s">
        <v>221</v>
      </c>
      <c r="H219" s="17" t="s">
        <v>151</v>
      </c>
      <c r="I219" s="15">
        <v>361.5</v>
      </c>
      <c r="J219" s="15">
        <v>1096.76</v>
      </c>
    </row>
    <row r="220" spans="1:10" x14ac:dyDescent="0.25">
      <c r="A220" s="14" t="s">
        <v>220</v>
      </c>
      <c r="I220" s="13">
        <v>1096.76</v>
      </c>
    </row>
    <row r="221" spans="1:10" x14ac:dyDescent="0.25">
      <c r="A221" s="14" t="s">
        <v>219</v>
      </c>
      <c r="I221" s="13">
        <v>15320.45</v>
      </c>
    </row>
    <row r="222" spans="1:10" x14ac:dyDescent="0.25">
      <c r="A222" s="14" t="s">
        <v>218</v>
      </c>
      <c r="I222" s="13">
        <v>584.19000000000005</v>
      </c>
    </row>
    <row r="223" spans="1:10" x14ac:dyDescent="0.25">
      <c r="A223" s="14" t="s">
        <v>217</v>
      </c>
    </row>
    <row r="224" spans="1:10" x14ac:dyDescent="0.25">
      <c r="A224" s="14" t="s">
        <v>216</v>
      </c>
    </row>
    <row r="225" spans="1:10" x14ac:dyDescent="0.25">
      <c r="A225" s="14" t="s">
        <v>215</v>
      </c>
    </row>
    <row r="226" spans="1:10" x14ac:dyDescent="0.25">
      <c r="A226" s="14" t="s">
        <v>214</v>
      </c>
    </row>
    <row r="227" spans="1:10" x14ac:dyDescent="0.25">
      <c r="B227" s="18" t="s">
        <v>156</v>
      </c>
      <c r="C227" s="18" t="s">
        <v>207</v>
      </c>
      <c r="D227" s="18">
        <v>1002</v>
      </c>
      <c r="E227" s="18" t="s">
        <v>206</v>
      </c>
      <c r="F227" s="17"/>
      <c r="G227" s="17"/>
      <c r="H227" s="17" t="s">
        <v>204</v>
      </c>
      <c r="I227" s="15">
        <v>32.85</v>
      </c>
      <c r="J227" s="15">
        <v>32.85</v>
      </c>
    </row>
    <row r="228" spans="1:10" x14ac:dyDescent="0.25">
      <c r="B228" s="18" t="s">
        <v>213</v>
      </c>
      <c r="C228" s="18" t="s">
        <v>207</v>
      </c>
      <c r="D228" s="18">
        <v>1004</v>
      </c>
      <c r="E228" s="18" t="s">
        <v>206</v>
      </c>
      <c r="F228" s="17"/>
      <c r="G228" s="17" t="s">
        <v>212</v>
      </c>
      <c r="H228" s="17" t="s">
        <v>204</v>
      </c>
      <c r="I228" s="15">
        <v>104.57</v>
      </c>
      <c r="J228" s="15">
        <v>137.41999999999999</v>
      </c>
    </row>
    <row r="229" spans="1:10" x14ac:dyDescent="0.25">
      <c r="B229" s="18" t="s">
        <v>211</v>
      </c>
      <c r="C229" s="18" t="s">
        <v>207</v>
      </c>
      <c r="D229" s="18">
        <v>1005</v>
      </c>
      <c r="E229" s="18" t="s">
        <v>206</v>
      </c>
      <c r="F229" s="17"/>
      <c r="G229" s="17" t="s">
        <v>210</v>
      </c>
      <c r="H229" s="17" t="s">
        <v>204</v>
      </c>
      <c r="I229" s="15">
        <v>10.16</v>
      </c>
      <c r="J229" s="15">
        <v>147.58000000000001</v>
      </c>
    </row>
    <row r="230" spans="1:10" ht="23.25" x14ac:dyDescent="0.25">
      <c r="B230" s="18" t="s">
        <v>208</v>
      </c>
      <c r="C230" s="18" t="s">
        <v>207</v>
      </c>
      <c r="D230" s="18">
        <v>1007</v>
      </c>
      <c r="E230" s="18" t="s">
        <v>206</v>
      </c>
      <c r="F230" s="17"/>
      <c r="G230" s="17" t="s">
        <v>209</v>
      </c>
      <c r="H230" s="17" t="s">
        <v>204</v>
      </c>
      <c r="I230" s="15">
        <v>10.95</v>
      </c>
      <c r="J230" s="15">
        <v>158.53</v>
      </c>
    </row>
    <row r="231" spans="1:10" x14ac:dyDescent="0.25">
      <c r="B231" s="18" t="s">
        <v>208</v>
      </c>
      <c r="C231" s="18" t="s">
        <v>207</v>
      </c>
      <c r="D231" s="18">
        <v>1006</v>
      </c>
      <c r="E231" s="18" t="s">
        <v>206</v>
      </c>
      <c r="F231" s="17"/>
      <c r="G231" s="17" t="s">
        <v>205</v>
      </c>
      <c r="H231" s="17" t="s">
        <v>204</v>
      </c>
      <c r="I231" s="15">
        <v>3.75</v>
      </c>
      <c r="J231" s="15">
        <v>162.28</v>
      </c>
    </row>
    <row r="232" spans="1:10" x14ac:dyDescent="0.25">
      <c r="A232" s="14" t="s">
        <v>203</v>
      </c>
      <c r="I232" s="13">
        <v>162.28</v>
      </c>
    </row>
    <row r="233" spans="1:10" x14ac:dyDescent="0.25">
      <c r="A233" s="14" t="s">
        <v>202</v>
      </c>
      <c r="I233" s="13">
        <v>162.28</v>
      </c>
    </row>
    <row r="234" spans="1:10" x14ac:dyDescent="0.25">
      <c r="A234" s="14" t="s">
        <v>201</v>
      </c>
    </row>
    <row r="235" spans="1:10" x14ac:dyDescent="0.25">
      <c r="B235" s="18" t="s">
        <v>200</v>
      </c>
      <c r="C235" s="18" t="s">
        <v>168</v>
      </c>
      <c r="D235" s="18" t="s">
        <v>199</v>
      </c>
      <c r="E235" s="18" t="s">
        <v>194</v>
      </c>
      <c r="F235" s="17"/>
      <c r="G235" s="17" t="s">
        <v>198</v>
      </c>
      <c r="H235" s="17" t="s">
        <v>164</v>
      </c>
      <c r="I235" s="15">
        <v>-14.25</v>
      </c>
      <c r="J235" s="15">
        <v>-14.25</v>
      </c>
    </row>
    <row r="236" spans="1:10" ht="23.25" x14ac:dyDescent="0.25">
      <c r="B236" s="18" t="s">
        <v>155</v>
      </c>
      <c r="C236" s="18" t="s">
        <v>168</v>
      </c>
      <c r="D236" s="18"/>
      <c r="E236" s="18" t="s">
        <v>197</v>
      </c>
      <c r="F236" s="17"/>
      <c r="G236" s="17" t="s">
        <v>196</v>
      </c>
      <c r="H236" s="17" t="s">
        <v>164</v>
      </c>
      <c r="I236" s="15">
        <v>-64.400000000000006</v>
      </c>
      <c r="J236" s="15">
        <v>-78.650000000000006</v>
      </c>
    </row>
    <row r="237" spans="1:10" x14ac:dyDescent="0.25">
      <c r="B237" s="18" t="s">
        <v>195</v>
      </c>
      <c r="C237" s="18" t="s">
        <v>168</v>
      </c>
      <c r="D237" s="18"/>
      <c r="E237" s="18" t="s">
        <v>194</v>
      </c>
      <c r="F237" s="17"/>
      <c r="G237" s="17" t="s">
        <v>193</v>
      </c>
      <c r="H237" s="17" t="s">
        <v>164</v>
      </c>
      <c r="I237" s="15">
        <v>-14.25</v>
      </c>
      <c r="J237" s="15">
        <v>-92.9</v>
      </c>
    </row>
    <row r="238" spans="1:10" x14ac:dyDescent="0.25">
      <c r="B238" s="18" t="s">
        <v>192</v>
      </c>
      <c r="C238" s="18" t="s">
        <v>168</v>
      </c>
      <c r="D238" s="18" t="s">
        <v>191</v>
      </c>
      <c r="E238" s="18" t="s">
        <v>190</v>
      </c>
      <c r="F238" s="17"/>
      <c r="G238" s="17" t="s">
        <v>189</v>
      </c>
      <c r="H238" s="17" t="s">
        <v>164</v>
      </c>
      <c r="I238" s="15">
        <v>-150.96</v>
      </c>
      <c r="J238" s="15">
        <v>-243.86</v>
      </c>
    </row>
    <row r="239" spans="1:10" x14ac:dyDescent="0.25">
      <c r="A239" s="14" t="s">
        <v>188</v>
      </c>
      <c r="I239" s="13">
        <v>-243.86</v>
      </c>
    </row>
    <row r="240" spans="1:10" x14ac:dyDescent="0.25">
      <c r="A240" s="14" t="s">
        <v>187</v>
      </c>
    </row>
    <row r="241" spans="1:10" x14ac:dyDescent="0.25">
      <c r="A241" s="14" t="s">
        <v>186</v>
      </c>
    </row>
    <row r="242" spans="1:10" x14ac:dyDescent="0.25">
      <c r="A242" s="14" t="s">
        <v>185</v>
      </c>
    </row>
    <row r="243" spans="1:10" ht="23.25" x14ac:dyDescent="0.25">
      <c r="B243" s="18" t="s">
        <v>174</v>
      </c>
      <c r="C243" s="18" t="s">
        <v>184</v>
      </c>
      <c r="D243" s="18">
        <v>1</v>
      </c>
      <c r="E243" s="18"/>
      <c r="F243" s="17" t="s">
        <v>166</v>
      </c>
      <c r="G243" s="17" t="s">
        <v>183</v>
      </c>
      <c r="H243" s="17" t="s">
        <v>182</v>
      </c>
      <c r="I243" s="15">
        <v>19</v>
      </c>
      <c r="J243" s="15">
        <v>19</v>
      </c>
    </row>
    <row r="244" spans="1:10" ht="23.25" x14ac:dyDescent="0.25">
      <c r="B244" s="18" t="s">
        <v>181</v>
      </c>
      <c r="C244" s="18" t="s">
        <v>154</v>
      </c>
      <c r="D244" s="18">
        <v>15490</v>
      </c>
      <c r="E244" s="18" t="s">
        <v>180</v>
      </c>
      <c r="F244" s="17" t="s">
        <v>166</v>
      </c>
      <c r="G244" s="17" t="s">
        <v>179</v>
      </c>
      <c r="H244" s="17" t="s">
        <v>151</v>
      </c>
      <c r="I244" s="15">
        <v>100</v>
      </c>
      <c r="J244" s="15">
        <v>119</v>
      </c>
    </row>
    <row r="245" spans="1:10" x14ac:dyDescent="0.25">
      <c r="A245" s="14" t="s">
        <v>178</v>
      </c>
      <c r="I245" s="13">
        <v>119</v>
      </c>
    </row>
    <row r="246" spans="1:10" x14ac:dyDescent="0.25">
      <c r="A246" s="14" t="s">
        <v>177</v>
      </c>
      <c r="I246" s="13">
        <v>119</v>
      </c>
    </row>
    <row r="247" spans="1:10" x14ac:dyDescent="0.25">
      <c r="A247" s="14" t="s">
        <v>176</v>
      </c>
    </row>
    <row r="248" spans="1:10" x14ac:dyDescent="0.25">
      <c r="A248" s="14" t="s">
        <v>175</v>
      </c>
    </row>
    <row r="249" spans="1:10" ht="23.25" x14ac:dyDescent="0.25">
      <c r="B249" s="18" t="s">
        <v>174</v>
      </c>
      <c r="C249" s="18" t="s">
        <v>168</v>
      </c>
      <c r="D249" s="18"/>
      <c r="E249" s="18" t="s">
        <v>173</v>
      </c>
      <c r="F249" s="17" t="s">
        <v>166</v>
      </c>
      <c r="G249" s="17" t="s">
        <v>172</v>
      </c>
      <c r="H249" s="17" t="s">
        <v>164</v>
      </c>
      <c r="I249" s="15">
        <v>-954.6</v>
      </c>
      <c r="J249" s="15">
        <v>-954.6</v>
      </c>
    </row>
    <row r="250" spans="1:10" x14ac:dyDescent="0.25">
      <c r="A250" s="14" t="s">
        <v>171</v>
      </c>
      <c r="I250" s="13">
        <v>-954.6</v>
      </c>
    </row>
    <row r="251" spans="1:10" x14ac:dyDescent="0.25">
      <c r="A251" s="14" t="s">
        <v>170</v>
      </c>
    </row>
    <row r="252" spans="1:10" ht="23.25" x14ac:dyDescent="0.25">
      <c r="B252" s="18" t="s">
        <v>169</v>
      </c>
      <c r="C252" s="18" t="s">
        <v>168</v>
      </c>
      <c r="D252" s="18"/>
      <c r="E252" s="18" t="s">
        <v>167</v>
      </c>
      <c r="F252" s="17" t="s">
        <v>166</v>
      </c>
      <c r="G252" s="17" t="s">
        <v>165</v>
      </c>
      <c r="H252" s="17" t="s">
        <v>164</v>
      </c>
      <c r="I252" s="15">
        <v>-270</v>
      </c>
      <c r="J252" s="15">
        <v>-270</v>
      </c>
    </row>
    <row r="253" spans="1:10" x14ac:dyDescent="0.25">
      <c r="A253" s="14" t="s">
        <v>163</v>
      </c>
      <c r="I253" s="13">
        <v>-270</v>
      </c>
    </row>
    <row r="254" spans="1:10" x14ac:dyDescent="0.25">
      <c r="A254" s="14" t="s">
        <v>162</v>
      </c>
      <c r="I254" s="13">
        <v>-1224.5999999999999</v>
      </c>
    </row>
    <row r="255" spans="1:10" x14ac:dyDescent="0.25">
      <c r="A255" s="14" t="s">
        <v>161</v>
      </c>
      <c r="I255" s="13">
        <v>-1105.5999999999999</v>
      </c>
    </row>
    <row r="256" spans="1:10" x14ac:dyDescent="0.25">
      <c r="A256" s="14" t="s">
        <v>160</v>
      </c>
      <c r="I256" s="13">
        <v>-1187.18</v>
      </c>
    </row>
    <row r="257" spans="1:10" x14ac:dyDescent="0.25">
      <c r="A257" s="14" t="s">
        <v>159</v>
      </c>
    </row>
    <row r="258" spans="1:10" x14ac:dyDescent="0.25">
      <c r="A258" s="14" t="s">
        <v>158</v>
      </c>
    </row>
    <row r="259" spans="1:10" ht="23.25" x14ac:dyDescent="0.25">
      <c r="B259" s="18" t="s">
        <v>156</v>
      </c>
      <c r="C259" s="18" t="s">
        <v>154</v>
      </c>
      <c r="D259" s="18">
        <v>15434</v>
      </c>
      <c r="E259" s="18" t="s">
        <v>153</v>
      </c>
      <c r="F259" s="17"/>
      <c r="G259" s="17" t="s">
        <v>157</v>
      </c>
      <c r="H259" s="17" t="s">
        <v>151</v>
      </c>
      <c r="I259" s="15">
        <v>0</v>
      </c>
      <c r="J259" s="15">
        <v>0</v>
      </c>
    </row>
    <row r="260" spans="1:10" ht="23.25" x14ac:dyDescent="0.25">
      <c r="B260" s="18" t="s">
        <v>156</v>
      </c>
      <c r="C260" s="18" t="s">
        <v>154</v>
      </c>
      <c r="D260" s="18">
        <v>15433</v>
      </c>
      <c r="E260" s="18" t="s">
        <v>153</v>
      </c>
      <c r="F260" s="17"/>
      <c r="G260" s="17" t="s">
        <v>152</v>
      </c>
      <c r="H260" s="17" t="s">
        <v>151</v>
      </c>
      <c r="I260" s="16"/>
      <c r="J260" s="15">
        <v>0</v>
      </c>
    </row>
    <row r="261" spans="1:10" ht="23.25" x14ac:dyDescent="0.25">
      <c r="B261" s="18" t="s">
        <v>156</v>
      </c>
      <c r="C261" s="18" t="s">
        <v>154</v>
      </c>
      <c r="D261" s="18">
        <v>15445</v>
      </c>
      <c r="E261" s="18" t="s">
        <v>153</v>
      </c>
      <c r="F261" s="17"/>
      <c r="G261" s="17" t="s">
        <v>152</v>
      </c>
      <c r="H261" s="17" t="s">
        <v>151</v>
      </c>
      <c r="I261" s="15">
        <v>0</v>
      </c>
      <c r="J261" s="15">
        <v>0</v>
      </c>
    </row>
    <row r="262" spans="1:10" ht="23.25" x14ac:dyDescent="0.25">
      <c r="B262" s="18" t="s">
        <v>156</v>
      </c>
      <c r="C262" s="18" t="s">
        <v>154</v>
      </c>
      <c r="D262" s="18">
        <v>15432</v>
      </c>
      <c r="E262" s="18" t="s">
        <v>153</v>
      </c>
      <c r="F262" s="17"/>
      <c r="G262" s="17" t="s">
        <v>152</v>
      </c>
      <c r="H262" s="17" t="s">
        <v>151</v>
      </c>
      <c r="I262" s="15">
        <v>0</v>
      </c>
      <c r="J262" s="15">
        <v>0</v>
      </c>
    </row>
    <row r="263" spans="1:10" ht="23.25" x14ac:dyDescent="0.25">
      <c r="B263" s="18" t="s">
        <v>155</v>
      </c>
      <c r="C263" s="18" t="s">
        <v>154</v>
      </c>
      <c r="D263" s="18">
        <v>15463</v>
      </c>
      <c r="E263" s="18" t="s">
        <v>153</v>
      </c>
      <c r="F263" s="17"/>
      <c r="G263" s="17" t="s">
        <v>152</v>
      </c>
      <c r="H263" s="17" t="s">
        <v>151</v>
      </c>
      <c r="I263" s="16"/>
      <c r="J263" s="15">
        <v>0</v>
      </c>
    </row>
    <row r="264" spans="1:10" ht="23.25" x14ac:dyDescent="0.25">
      <c r="B264" s="18" t="s">
        <v>155</v>
      </c>
      <c r="C264" s="18" t="s">
        <v>154</v>
      </c>
      <c r="D264" s="18">
        <v>15461</v>
      </c>
      <c r="E264" s="18" t="s">
        <v>153</v>
      </c>
      <c r="F264" s="17"/>
      <c r="G264" s="17" t="s">
        <v>152</v>
      </c>
      <c r="H264" s="17" t="s">
        <v>151</v>
      </c>
      <c r="I264" s="16"/>
      <c r="J264" s="15">
        <v>0</v>
      </c>
    </row>
    <row r="265" spans="1:10" ht="23.25" x14ac:dyDescent="0.25">
      <c r="B265" s="18" t="s">
        <v>155</v>
      </c>
      <c r="C265" s="18" t="s">
        <v>154</v>
      </c>
      <c r="D265" s="18">
        <v>15464</v>
      </c>
      <c r="E265" s="18" t="s">
        <v>153</v>
      </c>
      <c r="F265" s="17"/>
      <c r="G265" s="17" t="s">
        <v>152</v>
      </c>
      <c r="H265" s="17" t="s">
        <v>151</v>
      </c>
      <c r="I265" s="16"/>
      <c r="J265" s="15">
        <v>0</v>
      </c>
    </row>
    <row r="266" spans="1:10" ht="23.25" x14ac:dyDescent="0.25">
      <c r="B266" s="18" t="s">
        <v>155</v>
      </c>
      <c r="C266" s="18" t="s">
        <v>154</v>
      </c>
      <c r="D266" s="18">
        <v>15462</v>
      </c>
      <c r="E266" s="18" t="s">
        <v>153</v>
      </c>
      <c r="F266" s="17"/>
      <c r="G266" s="17" t="s">
        <v>152</v>
      </c>
      <c r="H266" s="17" t="s">
        <v>151</v>
      </c>
      <c r="I266" s="16"/>
      <c r="J266" s="15">
        <v>0</v>
      </c>
    </row>
    <row r="267" spans="1:10" x14ac:dyDescent="0.25">
      <c r="A267" s="14" t="s">
        <v>150</v>
      </c>
      <c r="I267" s="13">
        <v>0</v>
      </c>
    </row>
    <row r="268" spans="1:10" x14ac:dyDescent="0.25">
      <c r="A268" s="14" t="s">
        <v>149</v>
      </c>
      <c r="I268" s="13">
        <v>0</v>
      </c>
    </row>
    <row r="269" spans="1:10" x14ac:dyDescent="0.25">
      <c r="A269" s="14" t="s">
        <v>49</v>
      </c>
      <c r="I269" s="13">
        <v>-1187.18</v>
      </c>
    </row>
    <row r="270" spans="1:10" x14ac:dyDescent="0.25">
      <c r="A270" s="14" t="s">
        <v>50</v>
      </c>
      <c r="I270" s="13">
        <v>-602.99</v>
      </c>
    </row>
  </sheetData>
  <mergeCells count="123">
    <mergeCell ref="A32"/>
    <mergeCell ref="A42"/>
    <mergeCell ref="A43"/>
    <mergeCell ref="A46"/>
    <mergeCell ref="A47"/>
    <mergeCell ref="A6"/>
    <mergeCell ref="A7"/>
    <mergeCell ref="A8"/>
    <mergeCell ref="A9"/>
    <mergeCell ref="A31"/>
    <mergeCell ref="A55"/>
    <mergeCell ref="A56"/>
    <mergeCell ref="A61"/>
    <mergeCell ref="A62"/>
    <mergeCell ref="A63"/>
    <mergeCell ref="A48"/>
    <mergeCell ref="A49"/>
    <mergeCell ref="A51"/>
    <mergeCell ref="A52"/>
    <mergeCell ref="A54"/>
    <mergeCell ref="A80"/>
    <mergeCell ref="A82"/>
    <mergeCell ref="A83"/>
    <mergeCell ref="A85"/>
    <mergeCell ref="A86"/>
    <mergeCell ref="A64"/>
    <mergeCell ref="A65"/>
    <mergeCell ref="A71"/>
    <mergeCell ref="A72"/>
    <mergeCell ref="A79"/>
    <mergeCell ref="A98"/>
    <mergeCell ref="A99"/>
    <mergeCell ref="A101"/>
    <mergeCell ref="A102"/>
    <mergeCell ref="A103"/>
    <mergeCell ref="A91"/>
    <mergeCell ref="A92"/>
    <mergeCell ref="A94"/>
    <mergeCell ref="A95"/>
    <mergeCell ref="A96"/>
    <mergeCell ref="A110"/>
    <mergeCell ref="A112"/>
    <mergeCell ref="A113"/>
    <mergeCell ref="A115"/>
    <mergeCell ref="A116"/>
    <mergeCell ref="A104"/>
    <mergeCell ref="A105"/>
    <mergeCell ref="A107"/>
    <mergeCell ref="A108"/>
    <mergeCell ref="A109"/>
    <mergeCell ref="A131"/>
    <mergeCell ref="A133"/>
    <mergeCell ref="A134"/>
    <mergeCell ref="A139"/>
    <mergeCell ref="A140"/>
    <mergeCell ref="A117"/>
    <mergeCell ref="A118"/>
    <mergeCell ref="A122"/>
    <mergeCell ref="A123"/>
    <mergeCell ref="A130"/>
    <mergeCell ref="A167"/>
    <mergeCell ref="A168"/>
    <mergeCell ref="A172"/>
    <mergeCell ref="A173"/>
    <mergeCell ref="A176"/>
    <mergeCell ref="A141"/>
    <mergeCell ref="A143"/>
    <mergeCell ref="A144"/>
    <mergeCell ref="A165"/>
    <mergeCell ref="A166"/>
    <mergeCell ref="A184"/>
    <mergeCell ref="A185"/>
    <mergeCell ref="A186"/>
    <mergeCell ref="A187"/>
    <mergeCell ref="A193"/>
    <mergeCell ref="A177"/>
    <mergeCell ref="A178"/>
    <mergeCell ref="A179"/>
    <mergeCell ref="A181"/>
    <mergeCell ref="A182"/>
    <mergeCell ref="A203"/>
    <mergeCell ref="A204"/>
    <mergeCell ref="A213"/>
    <mergeCell ref="A214"/>
    <mergeCell ref="A215"/>
    <mergeCell ref="A194"/>
    <mergeCell ref="A195"/>
    <mergeCell ref="A198"/>
    <mergeCell ref="A199"/>
    <mergeCell ref="A200"/>
    <mergeCell ref="A225"/>
    <mergeCell ref="A226"/>
    <mergeCell ref="A232"/>
    <mergeCell ref="A233"/>
    <mergeCell ref="A234"/>
    <mergeCell ref="A220"/>
    <mergeCell ref="A221"/>
    <mergeCell ref="A222"/>
    <mergeCell ref="A223"/>
    <mergeCell ref="A224"/>
    <mergeCell ref="A251"/>
    <mergeCell ref="A239"/>
    <mergeCell ref="A240"/>
    <mergeCell ref="A241"/>
    <mergeCell ref="A242"/>
    <mergeCell ref="A245"/>
    <mergeCell ref="A269"/>
    <mergeCell ref="A270"/>
    <mergeCell ref="A253"/>
    <mergeCell ref="A254"/>
    <mergeCell ref="A255"/>
    <mergeCell ref="A256"/>
    <mergeCell ref="A257"/>
    <mergeCell ref="A1:J1"/>
    <mergeCell ref="A2:J2"/>
    <mergeCell ref="A3:J3"/>
    <mergeCell ref="A258"/>
    <mergeCell ref="A267"/>
    <mergeCell ref="A268"/>
    <mergeCell ref="A246"/>
    <mergeCell ref="A247"/>
    <mergeCell ref="A248"/>
    <mergeCell ref="A250"/>
  </mergeCells>
  <pageMargins left="0.2" right="0.2" top="0.2" bottom="0.2" header="0" footer="0"/>
  <pageSetup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workbookViewId="0">
      <selection activeCell="D11" sqref="D11"/>
    </sheetView>
  </sheetViews>
  <sheetFormatPr defaultRowHeight="15" x14ac:dyDescent="0.25"/>
  <cols>
    <col min="1" max="1" width="40.85546875" style="8" customWidth="1"/>
    <col min="2" max="2" width="14.28515625" style="8" customWidth="1"/>
    <col min="3" max="16384" width="9.140625" style="8"/>
  </cols>
  <sheetData>
    <row r="1" spans="1:2" ht="18" x14ac:dyDescent="0.25">
      <c r="A1" s="9" t="s">
        <v>51</v>
      </c>
      <c r="B1" s="10"/>
    </row>
    <row r="2" spans="1:2" ht="18" x14ac:dyDescent="0.25">
      <c r="A2" s="9" t="s">
        <v>567</v>
      </c>
      <c r="B2" s="10"/>
    </row>
    <row r="3" spans="1:2" x14ac:dyDescent="0.25">
      <c r="A3" s="11" t="s">
        <v>566</v>
      </c>
      <c r="B3" s="10"/>
    </row>
    <row r="5" spans="1:2" x14ac:dyDescent="0.25">
      <c r="A5" s="1"/>
      <c r="B5" s="2" t="s">
        <v>12</v>
      </c>
    </row>
    <row r="6" spans="1:2" x14ac:dyDescent="0.25">
      <c r="A6" s="3" t="s">
        <v>565</v>
      </c>
      <c r="B6" s="4"/>
    </row>
    <row r="7" spans="1:2" x14ac:dyDescent="0.25">
      <c r="A7" s="3" t="s">
        <v>564</v>
      </c>
      <c r="B7" s="4"/>
    </row>
    <row r="8" spans="1:2" x14ac:dyDescent="0.25">
      <c r="A8" s="3" t="s">
        <v>563</v>
      </c>
      <c r="B8" s="4"/>
    </row>
    <row r="9" spans="1:2" x14ac:dyDescent="0.25">
      <c r="A9" s="3" t="s">
        <v>562</v>
      </c>
      <c r="B9" s="5">
        <f>-2787.47</f>
        <v>-2787.47</v>
      </c>
    </row>
    <row r="10" spans="1:2" x14ac:dyDescent="0.25">
      <c r="A10" s="3" t="s">
        <v>561</v>
      </c>
      <c r="B10" s="5">
        <f>100</f>
        <v>100</v>
      </c>
    </row>
    <row r="11" spans="1:2" x14ac:dyDescent="0.25">
      <c r="A11" s="3" t="s">
        <v>560</v>
      </c>
      <c r="B11" s="5">
        <f>0</f>
        <v>0</v>
      </c>
    </row>
    <row r="12" spans="1:2" x14ac:dyDescent="0.25">
      <c r="A12" s="3" t="s">
        <v>559</v>
      </c>
      <c r="B12" s="5">
        <f>138.48</f>
        <v>138.47999999999999</v>
      </c>
    </row>
    <row r="13" spans="1:2" x14ac:dyDescent="0.25">
      <c r="A13" s="3" t="s">
        <v>558</v>
      </c>
      <c r="B13" s="5">
        <f>0</f>
        <v>0</v>
      </c>
    </row>
    <row r="14" spans="1:2" x14ac:dyDescent="0.25">
      <c r="A14" s="3" t="s">
        <v>557</v>
      </c>
      <c r="B14" s="5">
        <f>0</f>
        <v>0</v>
      </c>
    </row>
    <row r="15" spans="1:2" x14ac:dyDescent="0.25">
      <c r="A15" s="3" t="s">
        <v>556</v>
      </c>
      <c r="B15" s="5">
        <f>0</f>
        <v>0</v>
      </c>
    </row>
    <row r="16" spans="1:2" x14ac:dyDescent="0.25">
      <c r="A16" s="3" t="s">
        <v>555</v>
      </c>
      <c r="B16" s="5">
        <f>200</f>
        <v>200</v>
      </c>
    </row>
    <row r="17" spans="1:2" x14ac:dyDescent="0.25">
      <c r="A17" s="3" t="s">
        <v>554</v>
      </c>
      <c r="B17" s="5">
        <f>491.32</f>
        <v>491.32</v>
      </c>
    </row>
    <row r="18" spans="1:2" x14ac:dyDescent="0.25">
      <c r="A18" s="3" t="s">
        <v>553</v>
      </c>
      <c r="B18" s="7">
        <f>(((((B12)+(B13))+(B14))+(B15))+(B16))+(B17)</f>
        <v>829.8</v>
      </c>
    </row>
    <row r="19" spans="1:2" x14ac:dyDescent="0.25">
      <c r="A19" s="3" t="s">
        <v>552</v>
      </c>
      <c r="B19" s="5">
        <f>318.01</f>
        <v>318.01</v>
      </c>
    </row>
    <row r="20" spans="1:2" x14ac:dyDescent="0.25">
      <c r="A20" s="3" t="s">
        <v>551</v>
      </c>
      <c r="B20" s="5">
        <f>0</f>
        <v>0</v>
      </c>
    </row>
    <row r="21" spans="1:2" x14ac:dyDescent="0.25">
      <c r="A21" s="3" t="s">
        <v>550</v>
      </c>
      <c r="B21" s="5">
        <f>50</f>
        <v>50</v>
      </c>
    </row>
    <row r="22" spans="1:2" x14ac:dyDescent="0.25">
      <c r="A22" s="3" t="s">
        <v>549</v>
      </c>
      <c r="B22" s="5">
        <f>0</f>
        <v>0</v>
      </c>
    </row>
    <row r="23" spans="1:2" x14ac:dyDescent="0.25">
      <c r="A23" s="3" t="s">
        <v>548</v>
      </c>
      <c r="B23" s="5">
        <f>0</f>
        <v>0</v>
      </c>
    </row>
    <row r="24" spans="1:2" x14ac:dyDescent="0.25">
      <c r="A24" s="3" t="s">
        <v>547</v>
      </c>
      <c r="B24" s="5">
        <f>0</f>
        <v>0</v>
      </c>
    </row>
    <row r="25" spans="1:2" x14ac:dyDescent="0.25">
      <c r="A25" s="3" t="s">
        <v>546</v>
      </c>
      <c r="B25" s="5">
        <f>0</f>
        <v>0</v>
      </c>
    </row>
    <row r="26" spans="1:2" x14ac:dyDescent="0.25">
      <c r="A26" s="3" t="s">
        <v>545</v>
      </c>
      <c r="B26" s="5">
        <f>0</f>
        <v>0</v>
      </c>
    </row>
    <row r="27" spans="1:2" x14ac:dyDescent="0.25">
      <c r="A27" s="3" t="s">
        <v>544</v>
      </c>
      <c r="B27" s="5">
        <f>0</f>
        <v>0</v>
      </c>
    </row>
    <row r="28" spans="1:2" x14ac:dyDescent="0.25">
      <c r="A28" s="3" t="s">
        <v>543</v>
      </c>
      <c r="B28" s="5">
        <f>0</f>
        <v>0</v>
      </c>
    </row>
    <row r="29" spans="1:2" x14ac:dyDescent="0.25">
      <c r="A29" s="3" t="s">
        <v>542</v>
      </c>
      <c r="B29" s="5">
        <f>267.3</f>
        <v>267.3</v>
      </c>
    </row>
    <row r="30" spans="1:2" x14ac:dyDescent="0.25">
      <c r="A30" s="3" t="s">
        <v>541</v>
      </c>
      <c r="B30" s="5">
        <f>0</f>
        <v>0</v>
      </c>
    </row>
    <row r="31" spans="1:2" x14ac:dyDescent="0.25">
      <c r="A31" s="3" t="s">
        <v>540</v>
      </c>
      <c r="B31" s="5">
        <f>52</f>
        <v>52</v>
      </c>
    </row>
    <row r="32" spans="1:2" x14ac:dyDescent="0.25">
      <c r="A32" s="3" t="s">
        <v>539</v>
      </c>
      <c r="B32" s="5">
        <f>0</f>
        <v>0</v>
      </c>
    </row>
    <row r="33" spans="1:2" x14ac:dyDescent="0.25">
      <c r="A33" s="3" t="s">
        <v>538</v>
      </c>
      <c r="B33" s="5">
        <f>0</f>
        <v>0</v>
      </c>
    </row>
    <row r="34" spans="1:2" x14ac:dyDescent="0.25">
      <c r="A34" s="3" t="s">
        <v>537</v>
      </c>
      <c r="B34" s="5">
        <f>0</f>
        <v>0</v>
      </c>
    </row>
    <row r="35" spans="1:2" x14ac:dyDescent="0.25">
      <c r="A35" s="3" t="s">
        <v>536</v>
      </c>
      <c r="B35" s="5">
        <f>-174</f>
        <v>-174</v>
      </c>
    </row>
    <row r="36" spans="1:2" x14ac:dyDescent="0.25">
      <c r="A36" s="3" t="s">
        <v>535</v>
      </c>
      <c r="B36" s="7">
        <f>((((((((((((((((B19)+(B20))+(B21))+(B22))+(B23))+(B24))+(B25))+(B26))+(B27))+(B28))+(B29))+(B30))+(B31))+(B32))+(B33))+(B34))+(B35)</f>
        <v>513.30999999999995</v>
      </c>
    </row>
    <row r="37" spans="1:2" x14ac:dyDescent="0.25">
      <c r="A37" s="3" t="s">
        <v>534</v>
      </c>
      <c r="B37" s="7">
        <f>((((B9)+(B10))+(B11))+(B18))+(B36)</f>
        <v>-1344.36</v>
      </c>
    </row>
    <row r="38" spans="1:2" x14ac:dyDescent="0.25">
      <c r="A38" s="3" t="s">
        <v>533</v>
      </c>
      <c r="B38" s="4"/>
    </row>
    <row r="39" spans="1:2" x14ac:dyDescent="0.25">
      <c r="A39" s="3" t="s">
        <v>532</v>
      </c>
      <c r="B39" s="5">
        <f>0</f>
        <v>0</v>
      </c>
    </row>
    <row r="40" spans="1:2" x14ac:dyDescent="0.25">
      <c r="A40" s="3" t="s">
        <v>531</v>
      </c>
      <c r="B40" s="5">
        <f>0</f>
        <v>0</v>
      </c>
    </row>
    <row r="41" spans="1:2" x14ac:dyDescent="0.25">
      <c r="A41" s="3" t="s">
        <v>530</v>
      </c>
      <c r="B41" s="7">
        <f>(B39)+(B40)</f>
        <v>0</v>
      </c>
    </row>
    <row r="42" spans="1:2" x14ac:dyDescent="0.25">
      <c r="A42" s="3" t="s">
        <v>529</v>
      </c>
      <c r="B42" s="4"/>
    </row>
    <row r="43" spans="1:2" x14ac:dyDescent="0.25">
      <c r="A43" s="3" t="s">
        <v>528</v>
      </c>
      <c r="B43" s="5">
        <f>0</f>
        <v>0</v>
      </c>
    </row>
    <row r="44" spans="1:2" x14ac:dyDescent="0.25">
      <c r="A44" s="3" t="s">
        <v>527</v>
      </c>
      <c r="B44" s="5">
        <f>0</f>
        <v>0</v>
      </c>
    </row>
    <row r="45" spans="1:2" x14ac:dyDescent="0.25">
      <c r="A45" s="3" t="s">
        <v>526</v>
      </c>
      <c r="B45" s="5">
        <f>10929.4</f>
        <v>10929.4</v>
      </c>
    </row>
    <row r="46" spans="1:2" x14ac:dyDescent="0.25">
      <c r="A46" s="3" t="s">
        <v>525</v>
      </c>
      <c r="B46" s="5">
        <f>475</f>
        <v>475</v>
      </c>
    </row>
    <row r="47" spans="1:2" x14ac:dyDescent="0.25">
      <c r="A47" s="3" t="s">
        <v>524</v>
      </c>
      <c r="B47" s="5">
        <f>6761.82</f>
        <v>6761.82</v>
      </c>
    </row>
    <row r="48" spans="1:2" x14ac:dyDescent="0.25">
      <c r="A48" s="3" t="s">
        <v>523</v>
      </c>
      <c r="B48" s="7">
        <f>((((B43)+(B44))+(B45))+(B46))+(B47)</f>
        <v>18166.22</v>
      </c>
    </row>
    <row r="49" spans="1:2" x14ac:dyDescent="0.25">
      <c r="A49" s="3" t="s">
        <v>522</v>
      </c>
      <c r="B49" s="7">
        <f>((B37)+(B41))+(B48)</f>
        <v>16821.86</v>
      </c>
    </row>
    <row r="50" spans="1:2" x14ac:dyDescent="0.25">
      <c r="A50" s="3" t="s">
        <v>521</v>
      </c>
      <c r="B50" s="4"/>
    </row>
    <row r="51" spans="1:2" x14ac:dyDescent="0.25">
      <c r="A51" s="3" t="s">
        <v>520</v>
      </c>
      <c r="B51" s="5">
        <f>28600</f>
        <v>28600</v>
      </c>
    </row>
    <row r="52" spans="1:2" x14ac:dyDescent="0.25">
      <c r="A52" s="3" t="s">
        <v>519</v>
      </c>
      <c r="B52" s="7">
        <f>B51</f>
        <v>28600</v>
      </c>
    </row>
    <row r="53" spans="1:2" x14ac:dyDescent="0.25">
      <c r="A53" s="3" t="s">
        <v>518</v>
      </c>
      <c r="B53" s="7">
        <f>(B49)+(B52)</f>
        <v>45421.86</v>
      </c>
    </row>
    <row r="54" spans="1:2" x14ac:dyDescent="0.25">
      <c r="A54" s="3" t="s">
        <v>517</v>
      </c>
      <c r="B54" s="4"/>
    </row>
    <row r="55" spans="1:2" x14ac:dyDescent="0.25">
      <c r="A55" s="3" t="s">
        <v>516</v>
      </c>
      <c r="B55" s="4"/>
    </row>
    <row r="56" spans="1:2" x14ac:dyDescent="0.25">
      <c r="A56" s="3" t="s">
        <v>515</v>
      </c>
      <c r="B56" s="4"/>
    </row>
    <row r="57" spans="1:2" x14ac:dyDescent="0.25">
      <c r="A57" s="3" t="s">
        <v>514</v>
      </c>
      <c r="B57" s="4"/>
    </row>
    <row r="58" spans="1:2" x14ac:dyDescent="0.25">
      <c r="A58" s="3" t="s">
        <v>513</v>
      </c>
      <c r="B58" s="5">
        <f>6405.64</f>
        <v>6405.64</v>
      </c>
    </row>
    <row r="59" spans="1:2" x14ac:dyDescent="0.25">
      <c r="A59" s="3" t="s">
        <v>512</v>
      </c>
      <c r="B59" s="7">
        <f>B58</f>
        <v>6405.64</v>
      </c>
    </row>
    <row r="60" spans="1:2" x14ac:dyDescent="0.25">
      <c r="A60" s="3" t="s">
        <v>511</v>
      </c>
      <c r="B60" s="4"/>
    </row>
    <row r="61" spans="1:2" x14ac:dyDescent="0.25">
      <c r="A61" s="3" t="s">
        <v>510</v>
      </c>
      <c r="B61" s="4"/>
    </row>
    <row r="62" spans="1:2" x14ac:dyDescent="0.25">
      <c r="A62" s="3" t="s">
        <v>509</v>
      </c>
      <c r="B62" s="5">
        <f>2092.61</f>
        <v>2092.61</v>
      </c>
    </row>
    <row r="63" spans="1:2" x14ac:dyDescent="0.25">
      <c r="A63" s="3" t="s">
        <v>508</v>
      </c>
      <c r="B63" s="5">
        <f>2293.02</f>
        <v>2293.02</v>
      </c>
    </row>
    <row r="64" spans="1:2" x14ac:dyDescent="0.25">
      <c r="A64" s="3" t="s">
        <v>507</v>
      </c>
      <c r="B64" s="5">
        <f>45.56</f>
        <v>45.56</v>
      </c>
    </row>
    <row r="65" spans="1:2" x14ac:dyDescent="0.25">
      <c r="A65" s="3" t="s">
        <v>506</v>
      </c>
      <c r="B65" s="7">
        <f>(((B61)+(B62))+(B63))+(B64)</f>
        <v>4431.1900000000005</v>
      </c>
    </row>
    <row r="66" spans="1:2" x14ac:dyDescent="0.25">
      <c r="A66" s="3" t="s">
        <v>505</v>
      </c>
      <c r="B66" s="7">
        <f>B65</f>
        <v>4431.1900000000005</v>
      </c>
    </row>
    <row r="67" spans="1:2" x14ac:dyDescent="0.25">
      <c r="A67" s="3" t="s">
        <v>504</v>
      </c>
      <c r="B67" s="4"/>
    </row>
    <row r="68" spans="1:2" x14ac:dyDescent="0.25">
      <c r="A68" s="3" t="s">
        <v>503</v>
      </c>
      <c r="B68" s="5">
        <f>0</f>
        <v>0</v>
      </c>
    </row>
    <row r="69" spans="1:2" x14ac:dyDescent="0.25">
      <c r="A69" s="3" t="s">
        <v>502</v>
      </c>
      <c r="B69" s="5">
        <f>1504.52</f>
        <v>1504.52</v>
      </c>
    </row>
    <row r="70" spans="1:2" x14ac:dyDescent="0.25">
      <c r="A70" s="3" t="s">
        <v>501</v>
      </c>
      <c r="B70" s="5">
        <f>0</f>
        <v>0</v>
      </c>
    </row>
    <row r="71" spans="1:2" x14ac:dyDescent="0.25">
      <c r="A71" s="3" t="s">
        <v>500</v>
      </c>
      <c r="B71" s="5">
        <f>197.96</f>
        <v>197.96</v>
      </c>
    </row>
    <row r="72" spans="1:2" x14ac:dyDescent="0.25">
      <c r="A72" s="3" t="s">
        <v>499</v>
      </c>
      <c r="B72" s="5">
        <f>190.84</f>
        <v>190.84</v>
      </c>
    </row>
    <row r="73" spans="1:2" x14ac:dyDescent="0.25">
      <c r="A73" s="3" t="s">
        <v>498</v>
      </c>
      <c r="B73" s="7">
        <f>((((B68)+(B69))+(B70))+(B71))+(B72)</f>
        <v>1893.32</v>
      </c>
    </row>
    <row r="74" spans="1:2" x14ac:dyDescent="0.25">
      <c r="A74" s="3" t="s">
        <v>497</v>
      </c>
      <c r="B74" s="5">
        <f>560</f>
        <v>560</v>
      </c>
    </row>
    <row r="75" spans="1:2" x14ac:dyDescent="0.25">
      <c r="A75" s="3" t="s">
        <v>496</v>
      </c>
      <c r="B75" s="5">
        <f>90</f>
        <v>90</v>
      </c>
    </row>
    <row r="76" spans="1:2" x14ac:dyDescent="0.25">
      <c r="A76" s="3" t="s">
        <v>495</v>
      </c>
      <c r="B76" s="4"/>
    </row>
    <row r="77" spans="1:2" x14ac:dyDescent="0.25">
      <c r="A77" s="3" t="s">
        <v>494</v>
      </c>
      <c r="B77" s="5">
        <f>0</f>
        <v>0</v>
      </c>
    </row>
    <row r="78" spans="1:2" x14ac:dyDescent="0.25">
      <c r="A78" s="3" t="s">
        <v>493</v>
      </c>
      <c r="B78" s="5">
        <f>0</f>
        <v>0</v>
      </c>
    </row>
    <row r="79" spans="1:2" x14ac:dyDescent="0.25">
      <c r="A79" s="3" t="s">
        <v>492</v>
      </c>
      <c r="B79" s="5">
        <f>0</f>
        <v>0</v>
      </c>
    </row>
    <row r="80" spans="1:2" x14ac:dyDescent="0.25">
      <c r="A80" s="3" t="s">
        <v>491</v>
      </c>
      <c r="B80" s="7">
        <f>(((B76)+(B77))+(B78))+(B79)</f>
        <v>0</v>
      </c>
    </row>
    <row r="81" spans="1:2" x14ac:dyDescent="0.25">
      <c r="A81" s="3" t="s">
        <v>490</v>
      </c>
      <c r="B81" s="5">
        <f>16895.52</f>
        <v>16895.52</v>
      </c>
    </row>
    <row r="82" spans="1:2" x14ac:dyDescent="0.25">
      <c r="A82" s="3" t="s">
        <v>489</v>
      </c>
      <c r="B82" s="5">
        <f>41.22</f>
        <v>41.22</v>
      </c>
    </row>
    <row r="83" spans="1:2" x14ac:dyDescent="0.25">
      <c r="A83" s="3" t="s">
        <v>488</v>
      </c>
      <c r="B83" s="5">
        <f>0</f>
        <v>0</v>
      </c>
    </row>
    <row r="84" spans="1:2" x14ac:dyDescent="0.25">
      <c r="A84" s="3" t="s">
        <v>487</v>
      </c>
      <c r="B84" s="7">
        <f>((((((B73)+(B74))+(B75))+(B80))+(B81))+(B82))+(B83)</f>
        <v>19480.060000000001</v>
      </c>
    </row>
    <row r="85" spans="1:2" x14ac:dyDescent="0.25">
      <c r="A85" s="3" t="s">
        <v>486</v>
      </c>
      <c r="B85" s="7">
        <f>((B59)+(B66))+(B84)</f>
        <v>30316.890000000003</v>
      </c>
    </row>
    <row r="86" spans="1:2" x14ac:dyDescent="0.25">
      <c r="A86" s="3" t="s">
        <v>485</v>
      </c>
      <c r="B86" s="4"/>
    </row>
    <row r="87" spans="1:2" x14ac:dyDescent="0.25">
      <c r="A87" s="3" t="s">
        <v>484</v>
      </c>
      <c r="B87" s="5">
        <f>13393.52</f>
        <v>13393.52</v>
      </c>
    </row>
    <row r="88" spans="1:2" x14ac:dyDescent="0.25">
      <c r="A88" s="3" t="s">
        <v>483</v>
      </c>
      <c r="B88" s="7">
        <f>B87</f>
        <v>13393.52</v>
      </c>
    </row>
    <row r="89" spans="1:2" x14ac:dyDescent="0.25">
      <c r="A89" s="3" t="s">
        <v>482</v>
      </c>
      <c r="B89" s="7">
        <f>(B85)+(B88)</f>
        <v>43710.41</v>
      </c>
    </row>
    <row r="90" spans="1:2" x14ac:dyDescent="0.25">
      <c r="A90" s="3" t="s">
        <v>481</v>
      </c>
      <c r="B90" s="4"/>
    </row>
    <row r="91" spans="1:2" x14ac:dyDescent="0.25">
      <c r="A91" s="3" t="s">
        <v>480</v>
      </c>
      <c r="B91" s="5">
        <f>60211.82</f>
        <v>60211.82</v>
      </c>
    </row>
    <row r="92" spans="1:2" x14ac:dyDescent="0.25">
      <c r="A92" s="3" t="s">
        <v>479</v>
      </c>
      <c r="B92" s="5">
        <f>-59153.27</f>
        <v>-59153.27</v>
      </c>
    </row>
    <row r="93" spans="1:2" x14ac:dyDescent="0.25">
      <c r="A93" s="3" t="s">
        <v>478</v>
      </c>
      <c r="B93" s="5">
        <f>652.9</f>
        <v>652.9</v>
      </c>
    </row>
    <row r="94" spans="1:2" x14ac:dyDescent="0.25">
      <c r="A94" s="3" t="s">
        <v>477</v>
      </c>
      <c r="B94" s="7">
        <f>((B91)+(B92))+(B93)</f>
        <v>1711.450000000003</v>
      </c>
    </row>
    <row r="95" spans="1:2" x14ac:dyDescent="0.25">
      <c r="A95" s="3" t="s">
        <v>476</v>
      </c>
      <c r="B95" s="7">
        <f>(B89)+(B94)</f>
        <v>45421.860000000008</v>
      </c>
    </row>
    <row r="96" spans="1:2" x14ac:dyDescent="0.25">
      <c r="A96" s="3"/>
      <c r="B96" s="4"/>
    </row>
  </sheetData>
  <mergeCells count="3">
    <mergeCell ref="A1:B1"/>
    <mergeCell ref="A2:B2"/>
    <mergeCell ref="A3:B3"/>
  </mergeCells>
  <printOptions horizontalCentered="1"/>
  <pageMargins left="0.2" right="0.2" top="0.2" bottom="0.2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RowHeight="15" x14ac:dyDescent="0.25"/>
  <cols>
    <col min="1" max="1" width="31" style="8" customWidth="1"/>
    <col min="2" max="7" width="11.140625" style="8" customWidth="1"/>
    <col min="8" max="16384" width="9.140625" style="8"/>
  </cols>
  <sheetData>
    <row r="1" spans="1:7" ht="18" x14ac:dyDescent="0.25">
      <c r="A1" s="9" t="s">
        <v>51</v>
      </c>
      <c r="B1" s="10"/>
      <c r="C1" s="10"/>
      <c r="D1" s="10"/>
      <c r="E1" s="10"/>
      <c r="F1" s="10"/>
      <c r="G1" s="10"/>
    </row>
    <row r="2" spans="1:7" ht="18" x14ac:dyDescent="0.25">
      <c r="A2" s="9" t="s">
        <v>580</v>
      </c>
      <c r="B2" s="10"/>
      <c r="C2" s="10"/>
      <c r="D2" s="10"/>
      <c r="E2" s="10"/>
      <c r="F2" s="10"/>
      <c r="G2" s="10"/>
    </row>
    <row r="3" spans="1:7" x14ac:dyDescent="0.25">
      <c r="A3" s="11" t="s">
        <v>566</v>
      </c>
      <c r="B3" s="10"/>
      <c r="C3" s="10"/>
      <c r="D3" s="10"/>
      <c r="E3" s="10"/>
      <c r="F3" s="10"/>
      <c r="G3" s="10"/>
    </row>
    <row r="5" spans="1:7" x14ac:dyDescent="0.25">
      <c r="A5" s="1"/>
      <c r="B5" s="2" t="s">
        <v>579</v>
      </c>
      <c r="C5" s="2" t="s">
        <v>578</v>
      </c>
      <c r="D5" s="2" t="s">
        <v>577</v>
      </c>
      <c r="E5" s="2" t="s">
        <v>576</v>
      </c>
      <c r="F5" s="2" t="s">
        <v>575</v>
      </c>
      <c r="G5" s="2" t="s">
        <v>12</v>
      </c>
    </row>
    <row r="6" spans="1:7" x14ac:dyDescent="0.25">
      <c r="A6" s="3" t="s">
        <v>359</v>
      </c>
      <c r="B6" s="4"/>
      <c r="C6" s="4"/>
      <c r="D6" s="4"/>
      <c r="E6" s="4"/>
      <c r="F6" s="5">
        <f>-0.24</f>
        <v>-0.24</v>
      </c>
      <c r="G6" s="5">
        <f>((((B6)+(C6))+(D6))+(E6))+(F6)</f>
        <v>-0.24</v>
      </c>
    </row>
    <row r="7" spans="1:7" x14ac:dyDescent="0.25">
      <c r="A7" s="3" t="s">
        <v>574</v>
      </c>
      <c r="B7" s="5">
        <f>54.05</f>
        <v>54.05</v>
      </c>
      <c r="C7" s="4"/>
      <c r="D7" s="4"/>
      <c r="E7" s="4"/>
      <c r="F7" s="4"/>
      <c r="G7" s="5">
        <f>((((B7)+(C7))+(D7))+(E7))+(F7)</f>
        <v>54.05</v>
      </c>
    </row>
    <row r="8" spans="1:7" x14ac:dyDescent="0.25">
      <c r="A8" s="3" t="s">
        <v>573</v>
      </c>
      <c r="B8" s="4"/>
      <c r="C8" s="4"/>
      <c r="D8" s="5">
        <f>100</f>
        <v>100</v>
      </c>
      <c r="E8" s="4"/>
      <c r="F8" s="4"/>
      <c r="G8" s="5">
        <f>((((B8)+(C8))+(D8))+(E8))+(F8)</f>
        <v>100</v>
      </c>
    </row>
    <row r="9" spans="1:7" x14ac:dyDescent="0.25">
      <c r="A9" s="3" t="s">
        <v>167</v>
      </c>
      <c r="B9" s="5">
        <f>545.62</f>
        <v>545.62</v>
      </c>
      <c r="C9" s="5">
        <f>650.3</f>
        <v>650.29999999999995</v>
      </c>
      <c r="D9" s="5">
        <f>696.5</f>
        <v>696.5</v>
      </c>
      <c r="E9" s="5">
        <f>1147.2</f>
        <v>1147.2</v>
      </c>
      <c r="F9" s="4"/>
      <c r="G9" s="5">
        <f>((((B9)+(C9))+(D9))+(E9))+(F9)</f>
        <v>3039.62</v>
      </c>
    </row>
    <row r="10" spans="1:7" x14ac:dyDescent="0.25">
      <c r="A10" s="3" t="s">
        <v>372</v>
      </c>
      <c r="B10" s="5">
        <f>199.5</f>
        <v>199.5</v>
      </c>
      <c r="C10" s="4"/>
      <c r="D10" s="4"/>
      <c r="E10" s="4"/>
      <c r="F10" s="4"/>
      <c r="G10" s="5">
        <f>((((B10)+(C10))+(D10))+(E10))+(F10)</f>
        <v>199.5</v>
      </c>
    </row>
    <row r="11" spans="1:7" x14ac:dyDescent="0.25">
      <c r="A11" s="3" t="s">
        <v>339</v>
      </c>
      <c r="B11" s="5">
        <f>297.24</f>
        <v>297.24</v>
      </c>
      <c r="C11" s="4"/>
      <c r="D11" s="4"/>
      <c r="E11" s="4"/>
      <c r="F11" s="4"/>
      <c r="G11" s="5">
        <f>((((B11)+(C11))+(D11))+(E11))+(F11)</f>
        <v>297.24</v>
      </c>
    </row>
    <row r="12" spans="1:7" x14ac:dyDescent="0.25">
      <c r="A12" s="3" t="s">
        <v>572</v>
      </c>
      <c r="B12" s="4"/>
      <c r="C12" s="4"/>
      <c r="D12" s="5">
        <f>513</f>
        <v>513</v>
      </c>
      <c r="E12" s="4"/>
      <c r="F12" s="4"/>
      <c r="G12" s="5">
        <f>((((B12)+(C12))+(D12))+(E12))+(F12)</f>
        <v>513</v>
      </c>
    </row>
    <row r="13" spans="1:7" x14ac:dyDescent="0.25">
      <c r="A13" s="3" t="s">
        <v>274</v>
      </c>
      <c r="B13" s="5">
        <f>131.84</f>
        <v>131.84</v>
      </c>
      <c r="C13" s="5">
        <f>45.95</f>
        <v>45.95</v>
      </c>
      <c r="D13" s="4"/>
      <c r="E13" s="4"/>
      <c r="F13" s="4"/>
      <c r="G13" s="5">
        <f>((((B13)+(C13))+(D13))+(E13))+(F13)</f>
        <v>177.79000000000002</v>
      </c>
    </row>
    <row r="14" spans="1:7" x14ac:dyDescent="0.25">
      <c r="A14" s="3" t="s">
        <v>571</v>
      </c>
      <c r="B14" s="4"/>
      <c r="C14" s="4"/>
      <c r="D14" s="5">
        <f>41.29</f>
        <v>41.29</v>
      </c>
      <c r="E14" s="4"/>
      <c r="F14" s="5">
        <f>44.12</f>
        <v>44.12</v>
      </c>
      <c r="G14" s="5">
        <f>((((B14)+(C14))+(D14))+(E14))+(F14)</f>
        <v>85.41</v>
      </c>
    </row>
    <row r="15" spans="1:7" x14ac:dyDescent="0.25">
      <c r="A15" s="3" t="s">
        <v>197</v>
      </c>
      <c r="B15" s="4"/>
      <c r="C15" s="5">
        <f>64.4</f>
        <v>64.400000000000006</v>
      </c>
      <c r="D15" s="4"/>
      <c r="E15" s="4"/>
      <c r="F15" s="5">
        <f>20.3</f>
        <v>20.3</v>
      </c>
      <c r="G15" s="5">
        <f>((((B15)+(C15))+(D15))+(E15))+(F15)</f>
        <v>84.7</v>
      </c>
    </row>
    <row r="16" spans="1:7" x14ac:dyDescent="0.25">
      <c r="A16" s="3" t="s">
        <v>313</v>
      </c>
      <c r="B16" s="5">
        <f>45.56</f>
        <v>45.56</v>
      </c>
      <c r="C16" s="4"/>
      <c r="D16" s="4"/>
      <c r="E16" s="4"/>
      <c r="F16" s="4"/>
      <c r="G16" s="5">
        <f>((((B16)+(C16))+(D16))+(E16))+(F16)</f>
        <v>45.56</v>
      </c>
    </row>
    <row r="17" spans="1:7" x14ac:dyDescent="0.25">
      <c r="A17" s="3" t="s">
        <v>190</v>
      </c>
      <c r="B17" s="5">
        <f>150.96</f>
        <v>150.96</v>
      </c>
      <c r="C17" s="4"/>
      <c r="D17" s="4"/>
      <c r="E17" s="4"/>
      <c r="F17" s="4"/>
      <c r="G17" s="5">
        <f>((((B17)+(C17))+(D17))+(E17))+(F17)</f>
        <v>150.96</v>
      </c>
    </row>
    <row r="18" spans="1:7" ht="23.25" x14ac:dyDescent="0.25">
      <c r="A18" s="3" t="s">
        <v>344</v>
      </c>
      <c r="B18" s="5">
        <f>41.84</f>
        <v>41.84</v>
      </c>
      <c r="C18" s="4"/>
      <c r="D18" s="4"/>
      <c r="E18" s="4"/>
      <c r="F18" s="4"/>
      <c r="G18" s="5">
        <f>((((B18)+(C18))+(D18))+(E18))+(F18)</f>
        <v>41.84</v>
      </c>
    </row>
    <row r="19" spans="1:7" x14ac:dyDescent="0.25">
      <c r="A19" s="3" t="s">
        <v>570</v>
      </c>
      <c r="B19" s="4"/>
      <c r="C19" s="4"/>
      <c r="D19" s="4"/>
      <c r="E19" s="4"/>
      <c r="F19" s="5">
        <f>7</f>
        <v>7</v>
      </c>
      <c r="G19" s="5">
        <f>((((B19)+(C19))+(D19))+(E19))+(F19)</f>
        <v>7</v>
      </c>
    </row>
    <row r="20" spans="1:7" x14ac:dyDescent="0.25">
      <c r="A20" s="3" t="s">
        <v>194</v>
      </c>
      <c r="B20" s="5">
        <f>14.25</f>
        <v>14.25</v>
      </c>
      <c r="C20" s="5">
        <f>14.25</f>
        <v>14.25</v>
      </c>
      <c r="D20" s="5">
        <f>14.25</f>
        <v>14.25</v>
      </c>
      <c r="E20" s="5">
        <f>14.25</f>
        <v>14.25</v>
      </c>
      <c r="F20" s="5">
        <f>14.25</f>
        <v>14.25</v>
      </c>
      <c r="G20" s="5">
        <f>((((B20)+(C20))+(D20))+(E20))+(F20)</f>
        <v>71.25</v>
      </c>
    </row>
    <row r="21" spans="1:7" x14ac:dyDescent="0.25">
      <c r="A21" s="3" t="s">
        <v>283</v>
      </c>
      <c r="B21" s="4"/>
      <c r="C21" s="4"/>
      <c r="D21" s="4"/>
      <c r="E21" s="4"/>
      <c r="F21" s="5">
        <f>25</f>
        <v>25</v>
      </c>
      <c r="G21" s="5">
        <f>((((B21)+(C21))+(D21))+(E21))+(F21)</f>
        <v>25</v>
      </c>
    </row>
    <row r="22" spans="1:7" x14ac:dyDescent="0.25">
      <c r="A22" s="3" t="s">
        <v>316</v>
      </c>
      <c r="B22" s="5">
        <f>478</f>
        <v>478</v>
      </c>
      <c r="C22" s="4"/>
      <c r="D22" s="4"/>
      <c r="E22" s="4"/>
      <c r="F22" s="4"/>
      <c r="G22" s="5">
        <f>((((B22)+(C22))+(D22))+(E22))+(F22)</f>
        <v>478</v>
      </c>
    </row>
    <row r="23" spans="1:7" x14ac:dyDescent="0.25">
      <c r="A23" s="3" t="s">
        <v>569</v>
      </c>
      <c r="B23" s="4"/>
      <c r="C23" s="4"/>
      <c r="D23" s="5">
        <f>504.07</f>
        <v>504.07</v>
      </c>
      <c r="E23" s="5">
        <f>252.04</f>
        <v>252.04</v>
      </c>
      <c r="F23" s="5">
        <f>278.85</f>
        <v>278.85000000000002</v>
      </c>
      <c r="G23" s="5">
        <f>((((B23)+(C23))+(D23))+(E23))+(F23)</f>
        <v>1034.96</v>
      </c>
    </row>
    <row r="24" spans="1:7" x14ac:dyDescent="0.25">
      <c r="A24" s="3" t="s">
        <v>568</v>
      </c>
      <c r="B24" s="7">
        <f>(((((((((((((((((B6)+(B7))+(B8))+(B9))+(B10))+(B11))+(B12))+(B13))+(B14))+(B15))+(B16))+(B17))+(B18))+(B19))+(B20))+(B21))+(B22))+(B23)</f>
        <v>1958.8599999999997</v>
      </c>
      <c r="C24" s="7">
        <f>(((((((((((((((((C6)+(C7))+(C8))+(C9))+(C10))+(C11))+(C12))+(C13))+(C14))+(C15))+(C16))+(C17))+(C18))+(C19))+(C20))+(C21))+(C22))+(C23)</f>
        <v>774.9</v>
      </c>
      <c r="D24" s="7">
        <f>(((((((((((((((((D6)+(D7))+(D8))+(D9))+(D10))+(D11))+(D12))+(D13))+(D14))+(D15))+(D16))+(D17))+(D18))+(D19))+(D20))+(D21))+(D22))+(D23)</f>
        <v>1869.11</v>
      </c>
      <c r="E24" s="7">
        <f>(((((((((((((((((E6)+(E7))+(E8))+(E9))+(E10))+(E11))+(E12))+(E13))+(E14))+(E15))+(E16))+(E17))+(E18))+(E19))+(E20))+(E21))+(E22))+(E23)</f>
        <v>1413.49</v>
      </c>
      <c r="F24" s="7">
        <f>(((((((((((((((((F6)+(F7))+(F8))+(F9))+(F10))+(F11))+(F12))+(F13))+(F14))+(F15))+(F16))+(F17))+(F18))+(F19))+(F20))+(F21))+(F22))+(F23)</f>
        <v>389.28000000000003</v>
      </c>
      <c r="G24" s="7">
        <f>((((B24)+(C24))+(D24))+(E24))+(F24)</f>
        <v>6405.6399999999994</v>
      </c>
    </row>
    <row r="25" spans="1:7" x14ac:dyDescent="0.25">
      <c r="A25" s="3"/>
      <c r="B25" s="4"/>
      <c r="C25" s="4"/>
      <c r="D25" s="4"/>
      <c r="E25" s="4"/>
      <c r="F25" s="4"/>
      <c r="G25" s="4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>
      <selection activeCell="I22" sqref="I22"/>
    </sheetView>
  </sheetViews>
  <sheetFormatPr defaultRowHeight="15" x14ac:dyDescent="0.25"/>
  <cols>
    <col min="1" max="1" width="35.28515625" style="8" customWidth="1"/>
    <col min="2" max="11" width="7.7109375" style="8" customWidth="1"/>
    <col min="12" max="12" width="8.5703125" style="8" customWidth="1"/>
    <col min="13" max="13" width="7.7109375" style="8" customWidth="1"/>
    <col min="14" max="14" width="10.28515625" style="8" customWidth="1"/>
    <col min="15" max="16384" width="9.140625" style="8"/>
  </cols>
  <sheetData>
    <row r="1" spans="1:14" ht="18" x14ac:dyDescent="0.25">
      <c r="A1" s="9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x14ac:dyDescent="0.25">
      <c r="A2" s="9" t="s">
        <v>52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x14ac:dyDescent="0.25">
      <c r="A3" s="11" t="s">
        <v>53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5" spans="1:14" ht="24.75" x14ac:dyDescent="0.25">
      <c r="A5" s="1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</row>
    <row r="6" spans="1:14" x14ac:dyDescent="0.25">
      <c r="A6" s="3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3" t="s">
        <v>19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>
        <f>(((((((((((B7)+(C7))+(D7))+(E7))+(F7))+(G7))+(H7))+(I7))+(J7))+(K7))+(L7))+(M7)</f>
        <v>0</v>
      </c>
    </row>
    <row r="8" spans="1:14" x14ac:dyDescent="0.25">
      <c r="A8" s="3" t="s">
        <v>20</v>
      </c>
      <c r="B8" s="7">
        <f t="shared" ref="B8:M8" si="0">(B7)-(0)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>(((((((((((B8)+(C8))+(D8))+(E8))+(F8))+(G8))+(H8))+(I8))+(J8))+(K8))+(L8))+(M8)</f>
        <v>0</v>
      </c>
    </row>
    <row r="9" spans="1:14" x14ac:dyDescent="0.25">
      <c r="A9" s="3" t="s">
        <v>21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 s="3" t="s">
        <v>36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>
        <f>(((((((((((B10)+(C10))+(D10))+(E10))+(F10))+(G10))+(H10))+(I10))+(J10))+(K10))+(L10))+(M10)</f>
        <v>0</v>
      </c>
    </row>
    <row r="11" spans="1:14" x14ac:dyDescent="0.25">
      <c r="A11" s="3" t="s">
        <v>37</v>
      </c>
      <c r="B11" s="7">
        <f t="shared" ref="B11:M11" si="1">(B8)-(B10)</f>
        <v>0</v>
      </c>
      <c r="C11" s="7">
        <f t="shared" si="1"/>
        <v>0</v>
      </c>
      <c r="D11" s="7">
        <f t="shared" si="1"/>
        <v>0</v>
      </c>
      <c r="E11" s="7">
        <f t="shared" si="1"/>
        <v>0</v>
      </c>
      <c r="F11" s="7">
        <f t="shared" si="1"/>
        <v>0</v>
      </c>
      <c r="G11" s="7">
        <f t="shared" si="1"/>
        <v>0</v>
      </c>
      <c r="H11" s="7">
        <f t="shared" si="1"/>
        <v>0</v>
      </c>
      <c r="I11" s="7">
        <f t="shared" si="1"/>
        <v>0</v>
      </c>
      <c r="J11" s="7">
        <f t="shared" si="1"/>
        <v>0</v>
      </c>
      <c r="K11" s="7">
        <f t="shared" si="1"/>
        <v>0</v>
      </c>
      <c r="L11" s="7">
        <f t="shared" si="1"/>
        <v>0</v>
      </c>
      <c r="M11" s="7">
        <f t="shared" si="1"/>
        <v>0</v>
      </c>
      <c r="N11" s="7">
        <f>(((((((((((B11)+(C11))+(D11))+(E11))+(F11))+(G11))+(H11))+(I11))+(J11))+(K11))+(L11))+(M11)</f>
        <v>0</v>
      </c>
    </row>
    <row r="12" spans="1:14" x14ac:dyDescent="0.25">
      <c r="A12" s="3" t="s">
        <v>38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25">
      <c r="A13" s="3" t="s">
        <v>40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>
        <f t="shared" ref="N13:N20" si="2">(((((((((((B13)+(C13))+(D13))+(E13))+(F13))+(G13))+(H13))+(I13))+(J13))+(K13))+(L13))+(M13)</f>
        <v>0</v>
      </c>
    </row>
    <row r="14" spans="1:14" x14ac:dyDescent="0.25">
      <c r="A14" s="3" t="s">
        <v>70</v>
      </c>
      <c r="B14" s="5">
        <f>636.84</f>
        <v>636.84</v>
      </c>
      <c r="C14" s="5">
        <f>286.5</f>
        <v>286.5</v>
      </c>
      <c r="D14" s="5">
        <f>284.43</f>
        <v>284.43</v>
      </c>
      <c r="E14" s="5">
        <f>186.93</f>
        <v>186.93</v>
      </c>
      <c r="F14" s="5">
        <f>211.28</f>
        <v>211.28</v>
      </c>
      <c r="G14" s="5">
        <f>443.34</f>
        <v>443.34</v>
      </c>
      <c r="H14" s="5">
        <f>228.74</f>
        <v>228.74</v>
      </c>
      <c r="I14" s="5">
        <f>60.24</f>
        <v>60.24</v>
      </c>
      <c r="J14" s="5">
        <f>682.94</f>
        <v>682.94</v>
      </c>
      <c r="K14" s="5">
        <f>441.61</f>
        <v>441.61</v>
      </c>
      <c r="L14" s="5">
        <f>106.39</f>
        <v>106.39</v>
      </c>
      <c r="M14" s="5">
        <f>162.28</f>
        <v>162.28</v>
      </c>
      <c r="N14" s="5">
        <f t="shared" si="2"/>
        <v>3731.5200000000004</v>
      </c>
    </row>
    <row r="15" spans="1:14" ht="23.25" x14ac:dyDescent="0.25">
      <c r="A15" s="3" t="s">
        <v>69</v>
      </c>
      <c r="B15" s="5">
        <f>10</f>
        <v>10</v>
      </c>
      <c r="C15" s="5">
        <f>10</f>
        <v>10</v>
      </c>
      <c r="D15" s="5">
        <f>19.95</f>
        <v>19.95</v>
      </c>
      <c r="E15" s="5">
        <f>8.4</f>
        <v>8.4</v>
      </c>
      <c r="F15" s="5">
        <f>8.4</f>
        <v>8.4</v>
      </c>
      <c r="G15" s="4"/>
      <c r="H15" s="4"/>
      <c r="I15" s="4"/>
      <c r="J15" s="5">
        <f>202.59</f>
        <v>202.59</v>
      </c>
      <c r="K15" s="4"/>
      <c r="L15" s="5">
        <f>16</f>
        <v>16</v>
      </c>
      <c r="M15" s="4"/>
      <c r="N15" s="5">
        <f t="shared" si="2"/>
        <v>275.34000000000003</v>
      </c>
    </row>
    <row r="16" spans="1:14" x14ac:dyDescent="0.25">
      <c r="A16" s="3" t="s">
        <v>68</v>
      </c>
      <c r="B16" s="7">
        <f t="shared" ref="B16:M16" si="3">((B13)+(B14))+(B15)</f>
        <v>646.84</v>
      </c>
      <c r="C16" s="7">
        <f t="shared" si="3"/>
        <v>296.5</v>
      </c>
      <c r="D16" s="7">
        <f t="shared" si="3"/>
        <v>304.38</v>
      </c>
      <c r="E16" s="7">
        <f t="shared" si="3"/>
        <v>195.33</v>
      </c>
      <c r="F16" s="7">
        <f t="shared" si="3"/>
        <v>219.68</v>
      </c>
      <c r="G16" s="7">
        <f t="shared" si="3"/>
        <v>443.34</v>
      </c>
      <c r="H16" s="7">
        <f t="shared" si="3"/>
        <v>228.74</v>
      </c>
      <c r="I16" s="7">
        <f t="shared" si="3"/>
        <v>60.24</v>
      </c>
      <c r="J16" s="7">
        <f t="shared" si="3"/>
        <v>885.53000000000009</v>
      </c>
      <c r="K16" s="7">
        <f t="shared" si="3"/>
        <v>441.61</v>
      </c>
      <c r="L16" s="7">
        <f t="shared" si="3"/>
        <v>122.39</v>
      </c>
      <c r="M16" s="7">
        <f t="shared" si="3"/>
        <v>162.28</v>
      </c>
      <c r="N16" s="7">
        <f t="shared" si="2"/>
        <v>4006.8600000000006</v>
      </c>
    </row>
    <row r="17" spans="1:14" x14ac:dyDescent="0.25">
      <c r="A17" s="3" t="s">
        <v>41</v>
      </c>
      <c r="B17" s="5">
        <f>-713.71</f>
        <v>-713.71</v>
      </c>
      <c r="C17" s="5">
        <f>-42.22</f>
        <v>-42.22</v>
      </c>
      <c r="D17" s="5">
        <f>-28.5</f>
        <v>-28.5</v>
      </c>
      <c r="E17" s="5">
        <f>-14.25</f>
        <v>-14.25</v>
      </c>
      <c r="F17" s="5">
        <f>-287.73</f>
        <v>-287.73</v>
      </c>
      <c r="G17" s="5">
        <f>-252.42</f>
        <v>-252.42</v>
      </c>
      <c r="H17" s="5">
        <f>-28.5</f>
        <v>-28.5</v>
      </c>
      <c r="I17" s="4"/>
      <c r="J17" s="5">
        <f>-392.76</f>
        <v>-392.76</v>
      </c>
      <c r="K17" s="5">
        <f>-289.35</f>
        <v>-289.35000000000002</v>
      </c>
      <c r="L17" s="5">
        <f>-234.02</f>
        <v>-234.02</v>
      </c>
      <c r="M17" s="5">
        <f>-243.86</f>
        <v>-243.86</v>
      </c>
      <c r="N17" s="5">
        <f t="shared" si="2"/>
        <v>-2527.3200000000002</v>
      </c>
    </row>
    <row r="18" spans="1:14" x14ac:dyDescent="0.25">
      <c r="A18" s="3" t="s">
        <v>44</v>
      </c>
      <c r="B18" s="7">
        <f t="shared" ref="B18:M18" si="4">(B16)+(B17)</f>
        <v>-66.87</v>
      </c>
      <c r="C18" s="7">
        <f t="shared" si="4"/>
        <v>254.28</v>
      </c>
      <c r="D18" s="7">
        <f t="shared" si="4"/>
        <v>275.88</v>
      </c>
      <c r="E18" s="7">
        <f t="shared" si="4"/>
        <v>181.08</v>
      </c>
      <c r="F18" s="7">
        <f t="shared" si="4"/>
        <v>-68.050000000000011</v>
      </c>
      <c r="G18" s="7">
        <f t="shared" si="4"/>
        <v>190.92</v>
      </c>
      <c r="H18" s="7">
        <f t="shared" si="4"/>
        <v>200.24</v>
      </c>
      <c r="I18" s="7">
        <f t="shared" si="4"/>
        <v>60.24</v>
      </c>
      <c r="J18" s="7">
        <f t="shared" si="4"/>
        <v>492.7700000000001</v>
      </c>
      <c r="K18" s="7">
        <f t="shared" si="4"/>
        <v>152.26</v>
      </c>
      <c r="L18" s="7">
        <f t="shared" si="4"/>
        <v>-111.63000000000001</v>
      </c>
      <c r="M18" s="7">
        <f t="shared" si="4"/>
        <v>-81.580000000000013</v>
      </c>
      <c r="N18" s="7">
        <f t="shared" si="2"/>
        <v>1479.5399999999997</v>
      </c>
    </row>
    <row r="19" spans="1:14" x14ac:dyDescent="0.25">
      <c r="A19" s="3" t="s">
        <v>49</v>
      </c>
      <c r="B19" s="7">
        <f t="shared" ref="B19:M19" si="5">(B18)-(0)</f>
        <v>-66.87</v>
      </c>
      <c r="C19" s="7">
        <f t="shared" si="5"/>
        <v>254.28</v>
      </c>
      <c r="D19" s="7">
        <f t="shared" si="5"/>
        <v>275.88</v>
      </c>
      <c r="E19" s="7">
        <f t="shared" si="5"/>
        <v>181.08</v>
      </c>
      <c r="F19" s="7">
        <f t="shared" si="5"/>
        <v>-68.050000000000011</v>
      </c>
      <c r="G19" s="7">
        <f t="shared" si="5"/>
        <v>190.92</v>
      </c>
      <c r="H19" s="7">
        <f t="shared" si="5"/>
        <v>200.24</v>
      </c>
      <c r="I19" s="7">
        <f t="shared" si="5"/>
        <v>60.24</v>
      </c>
      <c r="J19" s="7">
        <f t="shared" si="5"/>
        <v>492.7700000000001</v>
      </c>
      <c r="K19" s="7">
        <f t="shared" si="5"/>
        <v>152.26</v>
      </c>
      <c r="L19" s="7">
        <f t="shared" si="5"/>
        <v>-111.63000000000001</v>
      </c>
      <c r="M19" s="7">
        <f t="shared" si="5"/>
        <v>-81.580000000000013</v>
      </c>
      <c r="N19" s="7">
        <f t="shared" si="2"/>
        <v>1479.5399999999997</v>
      </c>
    </row>
    <row r="20" spans="1:14" x14ac:dyDescent="0.25">
      <c r="A20" s="3" t="s">
        <v>50</v>
      </c>
      <c r="B20" s="7">
        <f t="shared" ref="B20:M20" si="6">(B11)+(B19)</f>
        <v>-66.87</v>
      </c>
      <c r="C20" s="7">
        <f t="shared" si="6"/>
        <v>254.28</v>
      </c>
      <c r="D20" s="7">
        <f t="shared" si="6"/>
        <v>275.88</v>
      </c>
      <c r="E20" s="7">
        <f t="shared" si="6"/>
        <v>181.08</v>
      </c>
      <c r="F20" s="7">
        <f t="shared" si="6"/>
        <v>-68.050000000000011</v>
      </c>
      <c r="G20" s="7">
        <f t="shared" si="6"/>
        <v>190.92</v>
      </c>
      <c r="H20" s="7">
        <f t="shared" si="6"/>
        <v>200.24</v>
      </c>
      <c r="I20" s="7">
        <f t="shared" si="6"/>
        <v>60.24</v>
      </c>
      <c r="J20" s="7">
        <f t="shared" si="6"/>
        <v>492.7700000000001</v>
      </c>
      <c r="K20" s="7">
        <f t="shared" si="6"/>
        <v>152.26</v>
      </c>
      <c r="L20" s="7">
        <f t="shared" si="6"/>
        <v>-111.63000000000001</v>
      </c>
      <c r="M20" s="7">
        <f t="shared" si="6"/>
        <v>-81.580000000000013</v>
      </c>
      <c r="N20" s="7">
        <f t="shared" si="2"/>
        <v>1479.5399999999997</v>
      </c>
    </row>
    <row r="21" spans="1:14" x14ac:dyDescent="0.2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</sheetData>
  <mergeCells count="3">
    <mergeCell ref="A1:N1"/>
    <mergeCell ref="A2:N2"/>
    <mergeCell ref="A3:N3"/>
  </mergeCells>
  <printOptions horizontalCentered="1"/>
  <pageMargins left="0.2" right="0.2" top="0.2" bottom="0.2" header="0" footer="0"/>
  <pageSetup scale="9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6" sqref="A6"/>
    </sheetView>
  </sheetViews>
  <sheetFormatPr defaultRowHeight="15" x14ac:dyDescent="0.25"/>
  <cols>
    <col min="1" max="1" width="14.5703125" style="8" customWidth="1"/>
    <col min="2" max="3" width="10.28515625" style="8" customWidth="1"/>
    <col min="4" max="4" width="16.28515625" style="8" customWidth="1"/>
    <col min="5" max="8" width="10.28515625" style="8" customWidth="1"/>
    <col min="9" max="16384" width="9.140625" style="8"/>
  </cols>
  <sheetData>
    <row r="1" spans="1:8" ht="18" x14ac:dyDescent="0.25">
      <c r="A1" s="9" t="s">
        <v>51</v>
      </c>
      <c r="B1" s="10"/>
      <c r="C1" s="10"/>
      <c r="D1" s="10"/>
      <c r="E1" s="10"/>
      <c r="F1" s="10"/>
      <c r="G1" s="10"/>
      <c r="H1" s="10"/>
    </row>
    <row r="2" spans="1:8" ht="18" x14ac:dyDescent="0.25">
      <c r="A2" s="9" t="s">
        <v>605</v>
      </c>
      <c r="B2" s="10"/>
      <c r="C2" s="10"/>
      <c r="D2" s="10"/>
      <c r="E2" s="10"/>
      <c r="F2" s="10"/>
      <c r="G2" s="10"/>
      <c r="H2" s="10"/>
    </row>
    <row r="3" spans="1:8" x14ac:dyDescent="0.25">
      <c r="A3" s="11" t="s">
        <v>566</v>
      </c>
      <c r="B3" s="10"/>
      <c r="C3" s="10"/>
      <c r="D3" s="10"/>
      <c r="E3" s="10"/>
      <c r="F3" s="10"/>
      <c r="G3" s="10"/>
      <c r="H3" s="10"/>
    </row>
    <row r="5" spans="1:8" ht="24.75" x14ac:dyDescent="0.25">
      <c r="B5" s="2" t="s">
        <v>473</v>
      </c>
      <c r="C5" s="2" t="s">
        <v>604</v>
      </c>
      <c r="D5" s="2" t="s">
        <v>471</v>
      </c>
      <c r="E5" s="2" t="s">
        <v>603</v>
      </c>
      <c r="F5" s="2" t="s">
        <v>602</v>
      </c>
      <c r="G5" s="2" t="s">
        <v>466</v>
      </c>
      <c r="H5" s="2" t="s">
        <v>601</v>
      </c>
    </row>
    <row r="6" spans="1:8" ht="28.5" customHeight="1" x14ac:dyDescent="0.25">
      <c r="A6" s="14" t="s">
        <v>600</v>
      </c>
    </row>
    <row r="7" spans="1:8" x14ac:dyDescent="0.25">
      <c r="B7" s="17" t="s">
        <v>598</v>
      </c>
      <c r="C7" s="17" t="s">
        <v>168</v>
      </c>
      <c r="D7" s="17" t="s">
        <v>599</v>
      </c>
      <c r="E7" s="17" t="s">
        <v>598</v>
      </c>
      <c r="F7" s="23">
        <v>102</v>
      </c>
      <c r="G7" s="5">
        <v>496.4</v>
      </c>
      <c r="H7" s="5">
        <v>496.4</v>
      </c>
    </row>
    <row r="8" spans="1:8" x14ac:dyDescent="0.25">
      <c r="B8" s="17" t="s">
        <v>596</v>
      </c>
      <c r="C8" s="17" t="s">
        <v>168</v>
      </c>
      <c r="D8" s="17" t="s">
        <v>597</v>
      </c>
      <c r="E8" s="17" t="s">
        <v>596</v>
      </c>
      <c r="F8" s="23">
        <v>95</v>
      </c>
      <c r="G8" s="5">
        <v>200.8</v>
      </c>
      <c r="H8" s="5">
        <v>200.8</v>
      </c>
    </row>
    <row r="9" spans="1:8" x14ac:dyDescent="0.25">
      <c r="B9" s="17" t="s">
        <v>594</v>
      </c>
      <c r="C9" s="17" t="s">
        <v>168</v>
      </c>
      <c r="D9" s="17" t="s">
        <v>595</v>
      </c>
      <c r="E9" s="17" t="s">
        <v>594</v>
      </c>
      <c r="F9" s="23">
        <v>88</v>
      </c>
      <c r="G9" s="5">
        <v>231</v>
      </c>
      <c r="H9" s="5">
        <v>231</v>
      </c>
    </row>
    <row r="10" spans="1:8" x14ac:dyDescent="0.25">
      <c r="B10" s="17" t="s">
        <v>592</v>
      </c>
      <c r="C10" s="17" t="s">
        <v>168</v>
      </c>
      <c r="D10" s="17" t="s">
        <v>593</v>
      </c>
      <c r="E10" s="17" t="s">
        <v>592</v>
      </c>
      <c r="F10" s="23">
        <v>81</v>
      </c>
      <c r="G10" s="5">
        <v>219</v>
      </c>
      <c r="H10" s="5">
        <v>219</v>
      </c>
    </row>
    <row r="11" spans="1:8" x14ac:dyDescent="0.25">
      <c r="B11" s="17" t="s">
        <v>590</v>
      </c>
      <c r="C11" s="17" t="s">
        <v>168</v>
      </c>
      <c r="D11" s="17" t="s">
        <v>591</v>
      </c>
      <c r="E11" s="17" t="s">
        <v>590</v>
      </c>
      <c r="F11" s="23">
        <v>74</v>
      </c>
      <c r="G11" s="5">
        <v>293.3</v>
      </c>
      <c r="H11" s="5">
        <v>293.3</v>
      </c>
    </row>
    <row r="12" spans="1:8" x14ac:dyDescent="0.25">
      <c r="B12" s="17" t="s">
        <v>589</v>
      </c>
      <c r="C12" s="17" t="s">
        <v>168</v>
      </c>
      <c r="D12" s="17" t="s">
        <v>588</v>
      </c>
      <c r="E12" s="17" t="s">
        <v>587</v>
      </c>
      <c r="F12" s="23">
        <v>52</v>
      </c>
      <c r="G12" s="5">
        <v>231.2</v>
      </c>
      <c r="H12" s="5">
        <v>231.2</v>
      </c>
    </row>
    <row r="13" spans="1:8" x14ac:dyDescent="0.25">
      <c r="B13" s="17" t="s">
        <v>586</v>
      </c>
      <c r="C13" s="17" t="s">
        <v>168</v>
      </c>
      <c r="D13" s="17" t="s">
        <v>585</v>
      </c>
      <c r="E13" s="17" t="s">
        <v>584</v>
      </c>
      <c r="F13" s="23">
        <v>45</v>
      </c>
      <c r="G13" s="5">
        <v>172</v>
      </c>
      <c r="H13" s="5">
        <v>172</v>
      </c>
    </row>
    <row r="14" spans="1:8" x14ac:dyDescent="0.25">
      <c r="B14" s="17" t="s">
        <v>248</v>
      </c>
      <c r="C14" s="17" t="s">
        <v>168</v>
      </c>
      <c r="D14" s="17" t="s">
        <v>583</v>
      </c>
      <c r="E14" s="17" t="s">
        <v>156</v>
      </c>
      <c r="F14" s="23">
        <v>38</v>
      </c>
      <c r="G14" s="5">
        <v>370.6</v>
      </c>
      <c r="H14" s="5">
        <v>370.6</v>
      </c>
    </row>
    <row r="15" spans="1:8" x14ac:dyDescent="0.25">
      <c r="B15" s="17" t="s">
        <v>195</v>
      </c>
      <c r="C15" s="17" t="s">
        <v>168</v>
      </c>
      <c r="D15" s="17" t="s">
        <v>244</v>
      </c>
      <c r="E15" s="17" t="s">
        <v>226</v>
      </c>
      <c r="F15" s="23">
        <v>30</v>
      </c>
      <c r="G15" s="5">
        <v>279.7</v>
      </c>
      <c r="H15" s="5">
        <v>279.7</v>
      </c>
    </row>
    <row r="16" spans="1:8" x14ac:dyDescent="0.25">
      <c r="B16" s="17" t="s">
        <v>174</v>
      </c>
      <c r="C16" s="17" t="s">
        <v>168</v>
      </c>
      <c r="D16" s="17" t="s">
        <v>243</v>
      </c>
      <c r="E16" s="17" t="s">
        <v>181</v>
      </c>
      <c r="F16" s="23">
        <v>14</v>
      </c>
      <c r="G16" s="5">
        <v>173.95</v>
      </c>
      <c r="H16" s="5">
        <v>173.95</v>
      </c>
    </row>
    <row r="17" spans="1:8" x14ac:dyDescent="0.25">
      <c r="B17" s="17" t="s">
        <v>192</v>
      </c>
      <c r="C17" s="17" t="s">
        <v>168</v>
      </c>
      <c r="D17" s="17" t="s">
        <v>242</v>
      </c>
      <c r="E17" s="17" t="s">
        <v>582</v>
      </c>
      <c r="F17" s="23">
        <v>7</v>
      </c>
      <c r="G17" s="5">
        <v>197.72</v>
      </c>
      <c r="H17" s="5">
        <v>197.72</v>
      </c>
    </row>
    <row r="18" spans="1:8" x14ac:dyDescent="0.25">
      <c r="A18" s="14" t="s">
        <v>581</v>
      </c>
      <c r="G18" s="7">
        <v>2865.67</v>
      </c>
      <c r="H18" s="7">
        <v>2865.67</v>
      </c>
    </row>
    <row r="19" spans="1:8" x14ac:dyDescent="0.25">
      <c r="A19" s="14" t="s">
        <v>568</v>
      </c>
      <c r="G19" s="7">
        <v>2865.67</v>
      </c>
      <c r="H19" s="7">
        <v>2865.67</v>
      </c>
    </row>
  </sheetData>
  <mergeCells count="6">
    <mergeCell ref="A6"/>
    <mergeCell ref="A18"/>
    <mergeCell ref="A19"/>
    <mergeCell ref="A1:H1"/>
    <mergeCell ref="A2:H2"/>
    <mergeCell ref="A3:H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Profit and Loss</vt:lpstr>
      <vt:lpstr>Profit &amp; Loss EXP</vt:lpstr>
      <vt:lpstr>Profit and Loss Detail</vt:lpstr>
      <vt:lpstr>Balance Sheet</vt:lpstr>
      <vt:lpstr>A P Aging Summary</vt:lpstr>
      <vt:lpstr>Bookstore</vt:lpstr>
      <vt:lpstr>Unpaid Bills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Kim Revere</cp:lastModifiedBy>
  <cp:lastPrinted>2016-04-14T19:47:45Z</cp:lastPrinted>
  <dcterms:created xsi:type="dcterms:W3CDTF">2016-04-14T19:17:27Z</dcterms:created>
  <dcterms:modified xsi:type="dcterms:W3CDTF">2016-04-14T20:03:04Z</dcterms:modified>
</cp:coreProperties>
</file>